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PREINVERSION\METODOLOGIAS\Seminario Perfiles Proyecto\Dia 3\"/>
    </mc:Choice>
  </mc:AlternateContent>
  <bookViews>
    <workbookView xWindow="0" yWindow="0" windowWidth="28800" windowHeight="12330"/>
  </bookViews>
  <sheets>
    <sheet name="Demanda" sheetId="13" r:id="rId1"/>
    <sheet name="Base" sheetId="1" r:id="rId2"/>
    <sheet name="SINP" sheetId="7" r:id="rId3"/>
    <sheet name="Inversiones" sheetId="8" r:id="rId4"/>
    <sheet name="CONP" sheetId="9" state="hidden" r:id="rId5"/>
    <sheet name="Detalle Costos Producción" sheetId="4" state="hidden" r:id="rId6"/>
    <sheet name="EFIN" sheetId="5" state="hidden" r:id="rId7"/>
    <sheet name="ESOCIAL" sheetId="6" state="hidden" r:id="rId8"/>
    <sheet name="FC" sheetId="12" state="hidden" r:id="rId9"/>
    <sheet name="Elasticidad" sheetId="10" state="hidden" r:id="rId10"/>
    <sheet name="Costo medio abastecimiento" sheetId="11" r:id="rId11"/>
  </sheets>
  <calcPr calcId="162913"/>
</workbook>
</file>

<file path=xl/calcChain.xml><?xml version="1.0" encoding="utf-8"?>
<calcChain xmlns="http://schemas.openxmlformats.org/spreadsheetml/2006/main">
  <c r="I5" i="13" l="1"/>
  <c r="I6" i="13"/>
  <c r="I4" i="13"/>
  <c r="G5" i="13"/>
  <c r="G6" i="13"/>
  <c r="G4" i="13"/>
  <c r="D21" i="12" l="1"/>
  <c r="G21" i="12" s="1"/>
  <c r="D20" i="12"/>
  <c r="G20" i="12" s="1"/>
  <c r="D19" i="12"/>
  <c r="G19" i="12" s="1"/>
  <c r="F21" i="12"/>
  <c r="F20" i="12"/>
  <c r="F19" i="12"/>
  <c r="C14" i="12"/>
  <c r="C13" i="12"/>
  <c r="C15" i="12" s="1"/>
  <c r="E4" i="12"/>
  <c r="E5" i="12" s="1"/>
  <c r="C9" i="12" s="1"/>
  <c r="E3" i="12"/>
  <c r="E2" i="12"/>
  <c r="F22" i="12" l="1"/>
  <c r="C23" i="12" s="1"/>
  <c r="G22" i="12"/>
  <c r="G24" i="12" s="1"/>
  <c r="D16" i="1"/>
  <c r="D21" i="1" s="1"/>
  <c r="E2" i="11" l="1"/>
  <c r="D3" i="11"/>
  <c r="E3" i="11" s="1"/>
  <c r="C3" i="11"/>
  <c r="C4" i="11" s="1"/>
  <c r="E4" i="11" l="1"/>
  <c r="C6" i="11" s="1"/>
  <c r="H11" i="10"/>
  <c r="I3" i="10"/>
  <c r="I4" i="10"/>
  <c r="I5" i="10"/>
  <c r="I6" i="10"/>
  <c r="I7" i="10"/>
  <c r="D8" i="10"/>
  <c r="D38" i="10" s="1"/>
  <c r="E8" i="10"/>
  <c r="E38" i="10" s="1"/>
  <c r="F8" i="10"/>
  <c r="F38" i="10" s="1"/>
  <c r="G8" i="10"/>
  <c r="G39" i="10" s="1"/>
  <c r="H8" i="10"/>
  <c r="H39" i="10" s="1"/>
  <c r="C8" i="10"/>
  <c r="I8" i="10" s="1"/>
  <c r="F49" i="10" s="1"/>
  <c r="E39" i="10"/>
  <c r="D11" i="10"/>
  <c r="E11" i="10"/>
  <c r="F11" i="10"/>
  <c r="G11" i="10"/>
  <c r="C11" i="10"/>
  <c r="B13" i="10"/>
  <c r="B14" i="10"/>
  <c r="G14" i="10" s="1"/>
  <c r="B15" i="10"/>
  <c r="G15" i="10" s="1"/>
  <c r="B16" i="10"/>
  <c r="B12" i="10"/>
  <c r="B38" i="10"/>
  <c r="B39" i="10"/>
  <c r="B40" i="10"/>
  <c r="B37" i="10"/>
  <c r="B24" i="10"/>
  <c r="B23" i="10"/>
  <c r="B22" i="10"/>
  <c r="B21" i="10"/>
  <c r="F13" i="10" l="1"/>
  <c r="G12" i="10"/>
  <c r="E16" i="10"/>
  <c r="E13" i="10"/>
  <c r="E21" i="10" s="1"/>
  <c r="E28" i="10" s="1"/>
  <c r="E12" i="10"/>
  <c r="F37" i="10"/>
  <c r="F39" i="10"/>
  <c r="F41" i="10" s="1"/>
  <c r="H38" i="10"/>
  <c r="F40" i="10"/>
  <c r="F12" i="10"/>
  <c r="G38" i="10"/>
  <c r="H12" i="10"/>
  <c r="C49" i="10"/>
  <c r="C37" i="10"/>
  <c r="G13" i="10"/>
  <c r="G21" i="10" s="1"/>
  <c r="G28" i="10" s="1"/>
  <c r="G49" i="10"/>
  <c r="C13" i="10"/>
  <c r="C12" i="10"/>
  <c r="H16" i="10"/>
  <c r="H49" i="10"/>
  <c r="C40" i="10"/>
  <c r="E49" i="10"/>
  <c r="H37" i="10"/>
  <c r="H15" i="10"/>
  <c r="C39" i="10"/>
  <c r="G37" i="10"/>
  <c r="D49" i="10"/>
  <c r="H41" i="10"/>
  <c r="H14" i="10"/>
  <c r="H22" i="10" s="1"/>
  <c r="H29" i="10" s="1"/>
  <c r="C38" i="10"/>
  <c r="G40" i="10"/>
  <c r="C16" i="10"/>
  <c r="H40" i="10"/>
  <c r="H13" i="10"/>
  <c r="G16" i="10"/>
  <c r="D16" i="10"/>
  <c r="E40" i="10"/>
  <c r="F21" i="10"/>
  <c r="F14" i="10"/>
  <c r="F22" i="10" s="1"/>
  <c r="F29" i="10" s="1"/>
  <c r="F45" i="10" s="1"/>
  <c r="C15" i="10"/>
  <c r="F15" i="10"/>
  <c r="D12" i="10"/>
  <c r="F16" i="10"/>
  <c r="D37" i="10"/>
  <c r="D13" i="10"/>
  <c r="E14" i="10"/>
  <c r="D40" i="10"/>
  <c r="D14" i="10"/>
  <c r="D22" i="10" s="1"/>
  <c r="D29" i="10" s="1"/>
  <c r="E15" i="10"/>
  <c r="C14" i="10"/>
  <c r="C22" i="10" s="1"/>
  <c r="C29" i="10" s="1"/>
  <c r="C45" i="10" s="1"/>
  <c r="D39" i="10"/>
  <c r="D15" i="10"/>
  <c r="E37" i="10"/>
  <c r="F28" i="10"/>
  <c r="F44" i="10" s="1"/>
  <c r="G7" i="8"/>
  <c r="C41" i="10" l="1"/>
  <c r="H45" i="10"/>
  <c r="C24" i="10"/>
  <c r="C31" i="10" s="1"/>
  <c r="C47" i="10" s="1"/>
  <c r="D23" i="10"/>
  <c r="D30" i="10" s="1"/>
  <c r="H24" i="10"/>
  <c r="H31" i="10" s="1"/>
  <c r="H47" i="10" s="1"/>
  <c r="G41" i="10"/>
  <c r="C21" i="10"/>
  <c r="C28" i="10" s="1"/>
  <c r="C44" i="10" s="1"/>
  <c r="E22" i="10"/>
  <c r="E29" i="10" s="1"/>
  <c r="E45" i="10" s="1"/>
  <c r="D41" i="10"/>
  <c r="G44" i="10"/>
  <c r="D24" i="10"/>
  <c r="D31" i="10" s="1"/>
  <c r="D47" i="10" s="1"/>
  <c r="F23" i="10"/>
  <c r="F30" i="10" s="1"/>
  <c r="F46" i="10" s="1"/>
  <c r="H21" i="10"/>
  <c r="H28" i="10" s="1"/>
  <c r="H44" i="10" s="1"/>
  <c r="G22" i="10"/>
  <c r="G29" i="10" s="1"/>
  <c r="G45" i="10" s="1"/>
  <c r="E41" i="10"/>
  <c r="F24" i="10"/>
  <c r="F31" i="10" s="1"/>
  <c r="F47" i="10" s="1"/>
  <c r="H23" i="10"/>
  <c r="H30" i="10" s="1"/>
  <c r="H46" i="10" s="1"/>
  <c r="D21" i="10"/>
  <c r="D28" i="10" s="1"/>
  <c r="D44" i="10"/>
  <c r="E44" i="10"/>
  <c r="E23" i="10"/>
  <c r="E30" i="10" s="1"/>
  <c r="E46" i="10" s="1"/>
  <c r="E24" i="10"/>
  <c r="E31" i="10" s="1"/>
  <c r="E47" i="10" s="1"/>
  <c r="D46" i="10"/>
  <c r="D45" i="10"/>
  <c r="C23" i="10"/>
  <c r="C30" i="10" s="1"/>
  <c r="C46" i="10" s="1"/>
  <c r="E4" i="7"/>
  <c r="D9" i="1"/>
  <c r="E48" i="10" l="1"/>
  <c r="D48" i="10"/>
  <c r="H48" i="10"/>
  <c r="F48" i="10"/>
  <c r="C48" i="10"/>
  <c r="G23" i="10"/>
  <c r="G30" i="10" s="1"/>
  <c r="G46" i="10" s="1"/>
  <c r="G24" i="10"/>
  <c r="G31" i="10" s="1"/>
  <c r="G47" i="10" s="1"/>
  <c r="E18" i="8"/>
  <c r="E11" i="8"/>
  <c r="D51" i="10" l="1"/>
  <c r="G48" i="10"/>
  <c r="J7" i="8"/>
  <c r="D23" i="5" l="1"/>
  <c r="N27" i="5" s="1"/>
  <c r="E23" i="8"/>
  <c r="E61" i="5"/>
  <c r="D61" i="5"/>
  <c r="D62" i="5" s="1"/>
  <c r="J21" i="8"/>
  <c r="J8" i="8"/>
  <c r="J9" i="8" s="1"/>
  <c r="J10" i="8" s="1"/>
  <c r="J11" i="8" s="1"/>
  <c r="J12" i="8" s="1"/>
  <c r="J13" i="8" s="1"/>
  <c r="J14" i="8" s="1"/>
  <c r="J15" i="8" s="1"/>
  <c r="J16" i="8" s="1"/>
  <c r="D44" i="5"/>
  <c r="H17" i="9"/>
  <c r="H16" i="9"/>
  <c r="E8" i="9"/>
  <c r="E9" i="9" s="1"/>
  <c r="G9" i="9" s="1"/>
  <c r="E7" i="9"/>
  <c r="G17" i="8"/>
  <c r="G16" i="8"/>
  <c r="G15" i="8"/>
  <c r="G18" i="8" s="1"/>
  <c r="D40" i="6" s="1"/>
  <c r="L20" i="8"/>
  <c r="G10" i="8"/>
  <c r="G9" i="8"/>
  <c r="G8" i="8"/>
  <c r="E19" i="6"/>
  <c r="G11" i="8" l="1"/>
  <c r="N6" i="8"/>
  <c r="D25" i="5" s="1"/>
  <c r="D64" i="5"/>
  <c r="D30" i="5" s="1"/>
  <c r="M35" i="6"/>
  <c r="G35" i="6"/>
  <c r="N35" i="6"/>
  <c r="L35" i="6"/>
  <c r="J35" i="6"/>
  <c r="H35" i="6"/>
  <c r="F35" i="6"/>
  <c r="K35" i="6"/>
  <c r="I35" i="6"/>
  <c r="E35" i="6"/>
  <c r="J22" i="8"/>
  <c r="K21" i="8"/>
  <c r="E4" i="4"/>
  <c r="F4" i="4" s="1"/>
  <c r="E5" i="4"/>
  <c r="F5" i="4" s="1"/>
  <c r="E6" i="4"/>
  <c r="F6" i="4" s="1"/>
  <c r="F10" i="4" s="1"/>
  <c r="E19" i="9" s="1"/>
  <c r="H19" i="9" s="1"/>
  <c r="E3" i="4"/>
  <c r="F3" i="4" s="1"/>
  <c r="E9" i="6"/>
  <c r="D5" i="1"/>
  <c r="D6" i="1" s="1"/>
  <c r="K9" i="8" l="1"/>
  <c r="K10" i="8"/>
  <c r="K13" i="8"/>
  <c r="K14" i="8"/>
  <c r="K8" i="8"/>
  <c r="K11" i="8"/>
  <c r="K15" i="8"/>
  <c r="K12" i="8"/>
  <c r="K7" i="8"/>
  <c r="M7" i="8" s="1"/>
  <c r="K16" i="8"/>
  <c r="L21" i="8"/>
  <c r="J23" i="8"/>
  <c r="K22" i="8"/>
  <c r="E25" i="6"/>
  <c r="F9" i="4"/>
  <c r="E18" i="9" s="1"/>
  <c r="E20" i="9" s="1"/>
  <c r="F7" i="4"/>
  <c r="E23" i="9" l="1"/>
  <c r="E24" i="9" s="1"/>
  <c r="E12" i="5"/>
  <c r="L7" i="8"/>
  <c r="L22" i="8"/>
  <c r="J24" i="8"/>
  <c r="K23" i="8"/>
  <c r="H18" i="9"/>
  <c r="H20" i="9" s="1"/>
  <c r="F23" i="9" s="1"/>
  <c r="F24" i="9" s="1"/>
  <c r="E6" i="7"/>
  <c r="M13" i="5"/>
  <c r="K13" i="5"/>
  <c r="I13" i="5"/>
  <c r="G13" i="5"/>
  <c r="E13" i="5"/>
  <c r="D22" i="5"/>
  <c r="N13" i="5"/>
  <c r="L13" i="5"/>
  <c r="J13" i="5"/>
  <c r="H13" i="5"/>
  <c r="F13" i="5"/>
  <c r="D39" i="6"/>
  <c r="D38" i="6" s="1"/>
  <c r="D42" i="6" s="1"/>
  <c r="E8" i="7" l="1"/>
  <c r="D46" i="5" s="1"/>
  <c r="D48" i="5" s="1"/>
  <c r="D49" i="5" s="1"/>
  <c r="D21" i="5"/>
  <c r="D28" i="5" s="1"/>
  <c r="J12" i="5"/>
  <c r="G12" i="5"/>
  <c r="F12" i="5"/>
  <c r="N12" i="5"/>
  <c r="K12" i="5"/>
  <c r="N7" i="8"/>
  <c r="L23" i="8"/>
  <c r="J25" i="8"/>
  <c r="K24" i="8"/>
  <c r="H12" i="5"/>
  <c r="L12" i="5"/>
  <c r="I12" i="5"/>
  <c r="M12" i="5"/>
  <c r="E11" i="6"/>
  <c r="E24" i="6"/>
  <c r="M36" i="6"/>
  <c r="K36" i="6"/>
  <c r="I36" i="6"/>
  <c r="G36" i="6"/>
  <c r="E36" i="6"/>
  <c r="N36" i="6"/>
  <c r="L36" i="6"/>
  <c r="J36" i="6"/>
  <c r="H36" i="6"/>
  <c r="F36" i="6"/>
  <c r="E23" i="6" l="1"/>
  <c r="E11" i="9"/>
  <c r="D51" i="5"/>
  <c r="E9" i="7"/>
  <c r="E10" i="6"/>
  <c r="E13" i="6" s="1"/>
  <c r="E14" i="6" s="1"/>
  <c r="E33" i="6" s="1"/>
  <c r="K33" i="6" s="1"/>
  <c r="M8" i="8"/>
  <c r="L24" i="8"/>
  <c r="J26" i="8"/>
  <c r="K25" i="8"/>
  <c r="G11" i="9" l="1"/>
  <c r="E20" i="6"/>
  <c r="E21" i="6" s="1"/>
  <c r="E26" i="6" s="1"/>
  <c r="E27" i="6" s="1"/>
  <c r="E34" i="6" s="1"/>
  <c r="M34" i="6" s="1"/>
  <c r="E9" i="5"/>
  <c r="H33" i="6"/>
  <c r="M33" i="6"/>
  <c r="L8" i="8"/>
  <c r="L25" i="8"/>
  <c r="J27" i="8"/>
  <c r="K26" i="8"/>
  <c r="L33" i="6"/>
  <c r="I33" i="6"/>
  <c r="F33" i="6"/>
  <c r="J33" i="6"/>
  <c r="N33" i="6"/>
  <c r="G33" i="6"/>
  <c r="L26" i="8" l="1"/>
  <c r="G9" i="5"/>
  <c r="L9" i="5"/>
  <c r="K9" i="5"/>
  <c r="M9" i="5"/>
  <c r="N9" i="5"/>
  <c r="J9" i="5"/>
  <c r="F9" i="5"/>
  <c r="I9" i="5"/>
  <c r="H9" i="5"/>
  <c r="M32" i="6"/>
  <c r="M42" i="6" s="1"/>
  <c r="J34" i="6"/>
  <c r="J32" i="6" s="1"/>
  <c r="J42" i="6" s="1"/>
  <c r="L34" i="6"/>
  <c r="L32" i="6" s="1"/>
  <c r="L42" i="6" s="1"/>
  <c r="E32" i="6"/>
  <c r="E42" i="6" s="1"/>
  <c r="I34" i="6"/>
  <c r="I32" i="6" s="1"/>
  <c r="I42" i="6" s="1"/>
  <c r="N34" i="6"/>
  <c r="N32" i="6" s="1"/>
  <c r="N42" i="6" s="1"/>
  <c r="F34" i="6"/>
  <c r="F32" i="6" s="1"/>
  <c r="F42" i="6" s="1"/>
  <c r="K34" i="6"/>
  <c r="K32" i="6" s="1"/>
  <c r="K42" i="6" s="1"/>
  <c r="G34" i="6"/>
  <c r="G32" i="6" s="1"/>
  <c r="G42" i="6" s="1"/>
  <c r="H34" i="6"/>
  <c r="H32" i="6" s="1"/>
  <c r="H42" i="6" s="1"/>
  <c r="N8" i="8"/>
  <c r="M9" i="8" s="1"/>
  <c r="J28" i="8"/>
  <c r="K27" i="8"/>
  <c r="L27" i="8" s="1"/>
  <c r="D47" i="6" l="1"/>
  <c r="D48" i="6"/>
  <c r="L9" i="8"/>
  <c r="J29" i="8"/>
  <c r="K28" i="8"/>
  <c r="L28" i="8" s="1"/>
  <c r="N9" i="8" l="1"/>
  <c r="J30" i="8"/>
  <c r="K30" i="8" s="1"/>
  <c r="K29" i="8"/>
  <c r="L29" i="8" s="1"/>
  <c r="M10" i="8" l="1"/>
  <c r="E14" i="5" a="1"/>
  <c r="L14" i="5" s="1"/>
  <c r="L30" i="8"/>
  <c r="N26" i="5" s="1"/>
  <c r="L10" i="8" l="1"/>
  <c r="L19" i="5"/>
  <c r="K14" i="5"/>
  <c r="J14" i="5"/>
  <c r="I14" i="5"/>
  <c r="H14" i="5"/>
  <c r="E14" i="5"/>
  <c r="G14" i="5"/>
  <c r="F14" i="5"/>
  <c r="N14" i="5"/>
  <c r="M14" i="5"/>
  <c r="N10" i="8" l="1"/>
  <c r="M19" i="5"/>
  <c r="E19" i="5"/>
  <c r="I19" i="5"/>
  <c r="N19" i="5"/>
  <c r="G19" i="5"/>
  <c r="H19" i="5"/>
  <c r="J19" i="5"/>
  <c r="F19" i="5"/>
  <c r="K19" i="5"/>
  <c r="M11" i="8" l="1"/>
  <c r="L11" i="8" l="1"/>
  <c r="N11" i="8" l="1"/>
  <c r="M12" i="8" l="1"/>
  <c r="L12" i="8" s="1"/>
  <c r="N12" i="8" s="1"/>
  <c r="M13" i="8" l="1"/>
  <c r="L13" i="8" s="1"/>
  <c r="N13" i="8" s="1"/>
  <c r="M14" i="8" l="1"/>
  <c r="L14" i="8" s="1"/>
  <c r="N14" i="8" s="1"/>
  <c r="M15" i="8" s="1"/>
  <c r="L15" i="8" s="1"/>
  <c r="N15" i="8" s="1"/>
  <c r="M16" i="8" s="1"/>
  <c r="L16" i="8" l="1"/>
  <c r="E15" i="5" a="1"/>
  <c r="N16" i="8" l="1"/>
  <c r="E20" i="5" a="1"/>
  <c r="F15" i="5"/>
  <c r="F11" i="5" s="1"/>
  <c r="K15" i="5"/>
  <c r="K11" i="5" s="1"/>
  <c r="G15" i="5"/>
  <c r="G11" i="5" s="1"/>
  <c r="N15" i="5"/>
  <c r="N11" i="5" s="1"/>
  <c r="J15" i="5"/>
  <c r="J11" i="5" s="1"/>
  <c r="M15" i="5"/>
  <c r="M11" i="5" s="1"/>
  <c r="I15" i="5"/>
  <c r="I11" i="5" s="1"/>
  <c r="E15" i="5"/>
  <c r="L15" i="5"/>
  <c r="L11" i="5" s="1"/>
  <c r="H15" i="5"/>
  <c r="H11" i="5" s="1"/>
  <c r="J16" i="5" l="1"/>
  <c r="J17" i="5" s="1"/>
  <c r="J18" i="5" s="1"/>
  <c r="I16" i="5"/>
  <c r="I17" i="5" s="1"/>
  <c r="I18" i="5" s="1"/>
  <c r="M16" i="5"/>
  <c r="M17" i="5" s="1"/>
  <c r="M18" i="5" s="1"/>
  <c r="N16" i="5"/>
  <c r="N17" i="5" s="1"/>
  <c r="N18" i="5" s="1"/>
  <c r="H16" i="5"/>
  <c r="H17" i="5" s="1"/>
  <c r="H18" i="5" s="1"/>
  <c r="L16" i="5"/>
  <c r="L17" i="5" s="1"/>
  <c r="L18" i="5" s="1"/>
  <c r="G16" i="5"/>
  <c r="G17" i="5" s="1"/>
  <c r="G18" i="5" s="1"/>
  <c r="K16" i="5"/>
  <c r="K17" i="5" s="1"/>
  <c r="K18" i="5" s="1"/>
  <c r="F16" i="5"/>
  <c r="F17" i="5" s="1"/>
  <c r="F18" i="5" s="1"/>
  <c r="E11" i="5"/>
  <c r="E16" i="5" s="1"/>
  <c r="F20" i="5"/>
  <c r="M20" i="5"/>
  <c r="I20" i="5"/>
  <c r="E20" i="5"/>
  <c r="L20" i="5"/>
  <c r="H20" i="5"/>
  <c r="K20" i="5"/>
  <c r="G20" i="5"/>
  <c r="N20" i="5"/>
  <c r="J20" i="5"/>
  <c r="J28" i="5" l="1"/>
  <c r="I28" i="5"/>
  <c r="M28" i="5"/>
  <c r="N28" i="5"/>
  <c r="G28" i="5"/>
  <c r="K28" i="5"/>
  <c r="L28" i="5"/>
  <c r="F28" i="5"/>
  <c r="H28" i="5"/>
  <c r="E17" i="5"/>
  <c r="E18" i="5" s="1"/>
  <c r="E28" i="5" s="1"/>
  <c r="D32" i="5" l="1"/>
  <c r="D35" i="5" s="1"/>
  <c r="D33" i="5"/>
</calcChain>
</file>

<file path=xl/sharedStrings.xml><?xml version="1.0" encoding="utf-8"?>
<sst xmlns="http://schemas.openxmlformats.org/spreadsheetml/2006/main" count="328" uniqueCount="264">
  <si>
    <t>Numero familias comunidad</t>
  </si>
  <si>
    <t>Salario promedio de las personas que acarrean agua</t>
  </si>
  <si>
    <t>mensual</t>
  </si>
  <si>
    <t>Número de horas trabajadas por mes</t>
  </si>
  <si>
    <t>Valor de la hora</t>
  </si>
  <si>
    <t>Número de horas dedicadas al acarreo por día</t>
  </si>
  <si>
    <t>a</t>
  </si>
  <si>
    <t>b</t>
  </si>
  <si>
    <t>c</t>
  </si>
  <si>
    <t>b/c</t>
  </si>
  <si>
    <t>d</t>
  </si>
  <si>
    <t>e=d*30</t>
  </si>
  <si>
    <t>f</t>
  </si>
  <si>
    <t>g=f*30</t>
  </si>
  <si>
    <t>h=(b/c)*e</t>
  </si>
  <si>
    <t>Costo económico del litro de agua sin proyecto</t>
  </si>
  <si>
    <t>i=h/g</t>
  </si>
  <si>
    <t>Litros de agua acarreados por día-familia</t>
  </si>
  <si>
    <t>Litros de agua acarreados por mes-familia</t>
  </si>
  <si>
    <t>Costo económico por acarreo al mes-familia</t>
  </si>
  <si>
    <t xml:space="preserve"> -----&gt;&gt;&gt;Consumo</t>
  </si>
  <si>
    <t xml:space="preserve"> -----&gt;&gt;&gt;Costo</t>
  </si>
  <si>
    <t>lts/dia</t>
  </si>
  <si>
    <t xml:space="preserve">     Personal calificado</t>
  </si>
  <si>
    <t xml:space="preserve">     Personal no calificado</t>
  </si>
  <si>
    <t xml:space="preserve">     Insumos y materiales transables</t>
  </si>
  <si>
    <t>Valores financieros</t>
  </si>
  <si>
    <t>Valor social</t>
  </si>
  <si>
    <t>Costo por litro de agua</t>
  </si>
  <si>
    <t>Capacidad de producción del sistema por día</t>
  </si>
  <si>
    <t>lts/ano</t>
  </si>
  <si>
    <t>Financiero</t>
  </si>
  <si>
    <t>Social</t>
  </si>
  <si>
    <t>Evaluación Financiera</t>
  </si>
  <si>
    <t>Si el proyecto estuviera en manos de un privado, una empresa local de agua, a esta empresa le interesa saber si la inversión desde un punto de vista financiero es rentable.</t>
  </si>
  <si>
    <t>Inversión</t>
  </si>
  <si>
    <t xml:space="preserve">  Materiales e insumos</t>
  </si>
  <si>
    <t xml:space="preserve">  Equipamiento</t>
  </si>
  <si>
    <t xml:space="preserve">  Mano de obra calificada</t>
  </si>
  <si>
    <t xml:space="preserve">  Mano de obra no calificada</t>
  </si>
  <si>
    <t>Evaluaremos a 10 anos</t>
  </si>
  <si>
    <t>Gastos de mantenimiento</t>
  </si>
  <si>
    <t xml:space="preserve">   como porcentaje de la inversión</t>
  </si>
  <si>
    <t>Tarifa establecida</t>
  </si>
  <si>
    <t>C$/m3</t>
  </si>
  <si>
    <t>Nota: 1 m3 equivale a mil litros</t>
  </si>
  <si>
    <t>Costos de producción</t>
  </si>
  <si>
    <t>Flujo neto financiero</t>
  </si>
  <si>
    <t>Tasa de descuento</t>
  </si>
  <si>
    <t>VAN</t>
  </si>
  <si>
    <t>TIR</t>
  </si>
  <si>
    <t>Gastos mensual promedio por familia</t>
  </si>
  <si>
    <t>C$/mes</t>
  </si>
  <si>
    <t>Aquí interesa el beneficio para las familias, hay dos beneficios:</t>
  </si>
  <si>
    <t>(i) beneficio por liberación de recursos: es el ahorro económico que tendría la familia por consumir la misma cantidad de litros de agua con proyecto vs sin proyecto</t>
  </si>
  <si>
    <t>Consumo sin proyecto</t>
  </si>
  <si>
    <t>Costo económico sin proyecto</t>
  </si>
  <si>
    <t>litros-familia mes</t>
  </si>
  <si>
    <t>por litro</t>
  </si>
  <si>
    <t xml:space="preserve">Beneficio por liberación de recursos </t>
  </si>
  <si>
    <t>C$/mes-familia</t>
  </si>
  <si>
    <t>(ii) beneficio por aumento de consumo: es la valoración de la mayor cantidad de agua que consumirán las familias.</t>
  </si>
  <si>
    <t>Consumo con proyecto</t>
  </si>
  <si>
    <t>Beneficio por aumento de consumo</t>
  </si>
  <si>
    <t>Consumo incremental</t>
  </si>
  <si>
    <t>Costo social con proyecto</t>
  </si>
  <si>
    <t>por litro ----&gt;&gt;&gt;&gt; aquí se usa el costo social de producir el agua</t>
  </si>
  <si>
    <t xml:space="preserve">   por liberacion de recursos</t>
  </si>
  <si>
    <t xml:space="preserve">   por aumento de consumo</t>
  </si>
  <si>
    <t>Evaluación Socio-Económica</t>
  </si>
  <si>
    <t>Flujo neto socio-económica</t>
  </si>
  <si>
    <t>Tasa social de descuento</t>
  </si>
  <si>
    <t>Número de horas dedicadas al acarreo por mes</t>
  </si>
  <si>
    <t>Capacidad de producción del sistema anual</t>
  </si>
  <si>
    <t>Los ingenerios estiman los costos de producción de agua en forma anual. Estos costos son financieros</t>
  </si>
  <si>
    <t xml:space="preserve">     Insumos y materiales no transables</t>
  </si>
  <si>
    <t>Personal</t>
  </si>
  <si>
    <t>Jefe de planta de potabilización</t>
  </si>
  <si>
    <t>Técnico A</t>
  </si>
  <si>
    <t>Jefe de Mantenimiento</t>
  </si>
  <si>
    <t>Clasificación</t>
  </si>
  <si>
    <t>Calificado</t>
  </si>
  <si>
    <t>No Calificado</t>
  </si>
  <si>
    <t>Remuneración Bruta</t>
  </si>
  <si>
    <t>Aporte INSS</t>
  </si>
  <si>
    <t>Vigilante</t>
  </si>
  <si>
    <t>Aporte Patronal</t>
  </si>
  <si>
    <t>Costo total</t>
  </si>
  <si>
    <t>Salarios totales</t>
  </si>
  <si>
    <t>Salario MO Calificada</t>
  </si>
  <si>
    <t>Salario MO No Calificada</t>
  </si>
  <si>
    <t>C$/lts</t>
  </si>
  <si>
    <t>lts/día</t>
  </si>
  <si>
    <t xml:space="preserve">Costo social con proyecto </t>
  </si>
  <si>
    <t>Tarifa</t>
  </si>
  <si>
    <t xml:space="preserve">Costos de producción anual </t>
  </si>
  <si>
    <t>Factor de conversión</t>
  </si>
  <si>
    <t>Número de personas por familia</t>
  </si>
  <si>
    <t>Caracterización de la comunidad (variables relevantes para la evaluación)</t>
  </si>
  <si>
    <r>
      <t>...por m</t>
    </r>
    <r>
      <rPr>
        <vertAlign val="superscript"/>
        <sz val="11"/>
        <color theme="1"/>
        <rFont val="Calibri"/>
        <family val="2"/>
        <scheme val="minor"/>
      </rPr>
      <t>3</t>
    </r>
  </si>
  <si>
    <t>Del diseño del sistema se estima que cada familia puede consumir por día (lts):</t>
  </si>
  <si>
    <t>Total anual</t>
  </si>
  <si>
    <t>Total inversión fija</t>
  </si>
  <si>
    <t>Inversión fija</t>
  </si>
  <si>
    <t>Inversión capital de trabajo</t>
  </si>
  <si>
    <t>Total inversión capital de trabajo</t>
  </si>
  <si>
    <t xml:space="preserve">La inversión fija se deprecia en </t>
  </si>
  <si>
    <t>años</t>
  </si>
  <si>
    <t>Depreciación anual</t>
  </si>
  <si>
    <t>lts/mes-------------------&gt;</t>
  </si>
  <si>
    <t>m3/mes</t>
  </si>
  <si>
    <t>Situación con Proyecto</t>
  </si>
  <si>
    <t>Situación sin Proyecto: consumo y costo</t>
  </si>
  <si>
    <t>Estructura de Financiamiento</t>
  </si>
  <si>
    <t>Préstamo</t>
  </si>
  <si>
    <t>Plazo</t>
  </si>
  <si>
    <t>Tasa de interés anual</t>
  </si>
  <si>
    <t>Año</t>
  </si>
  <si>
    <t>Saldo</t>
  </si>
  <si>
    <t>Interés</t>
  </si>
  <si>
    <t>Cuota</t>
  </si>
  <si>
    <t>Principal</t>
  </si>
  <si>
    <t>Tabla de pago de la deuda</t>
  </si>
  <si>
    <t>Tabla de Depreciación</t>
  </si>
  <si>
    <t xml:space="preserve">Depreciación </t>
  </si>
  <si>
    <t>Valor libro</t>
  </si>
  <si>
    <t>Impuesto por la renta</t>
  </si>
  <si>
    <t>Depreciación</t>
  </si>
  <si>
    <t>Ingresos afectos a impuestos</t>
  </si>
  <si>
    <t>Gastos afectos a impuestos</t>
  </si>
  <si>
    <t>Utilidad antes de impuestos</t>
  </si>
  <si>
    <t>Intereses por deuda</t>
  </si>
  <si>
    <t>Impuestos</t>
  </si>
  <si>
    <t>+</t>
  </si>
  <si>
    <t>-</t>
  </si>
  <si>
    <t>=</t>
  </si>
  <si>
    <t>Pago principal</t>
  </si>
  <si>
    <t>Valor residual</t>
  </si>
  <si>
    <t>Recuperación capital de trabajo</t>
  </si>
  <si>
    <t>Utilidad después de impuestos</t>
  </si>
  <si>
    <t>Determinación de la tasa de descuento</t>
  </si>
  <si>
    <t>Deuda</t>
  </si>
  <si>
    <t>Equity (capital propio)</t>
  </si>
  <si>
    <t>% de aporte</t>
  </si>
  <si>
    <t>Tasa relevante</t>
  </si>
  <si>
    <t xml:space="preserve">Préstamo como porcentaje de la inversión </t>
  </si>
  <si>
    <t>Estructura de financiamiento</t>
  </si>
  <si>
    <t>PPCC</t>
  </si>
  <si>
    <t>C$ por año (incluye todas las familias)</t>
  </si>
  <si>
    <t>Ahorro anual (Externalidad positiva)</t>
  </si>
  <si>
    <t>Externalidad positiva</t>
  </si>
  <si>
    <t>Inversión total</t>
  </si>
  <si>
    <t>Beneficios directos</t>
  </si>
  <si>
    <t>Para la evaluación financiera se cobra una tarifa, esta puede ser aquella que haga el VAN igual a cero, es decir, que permita pagar la inversión, los costos de producción, y de mantenimiento. No obstante, el consumo reaccionará a la tarifa (mayor tarifa ---&gt; menor consumo, y viceversa), incluso podría haber conexiones ilegales!.</t>
  </si>
  <si>
    <t>cambio porcentual costo sp vs cp</t>
  </si>
  <si>
    <t>elasticidad precio</t>
  </si>
  <si>
    <t>cambio porcentual en el consumo</t>
  </si>
  <si>
    <t>Oferta promedio por familia-día</t>
  </si>
  <si>
    <t>Oferta promedio por familia-mes</t>
  </si>
  <si>
    <t>Consumo promedio por familia mes</t>
  </si>
  <si>
    <t>lts/fam-mes</t>
  </si>
  <si>
    <t>Sensibilidades</t>
  </si>
  <si>
    <t>Fracción</t>
  </si>
  <si>
    <t>Los ingenieros deben estimar la inversión y deben separar los materiales de la mano de obra, a fin de poder estimar el valor social de la inversión</t>
  </si>
  <si>
    <t>VANIng-VANGOM</t>
  </si>
  <si>
    <t>Consumos</t>
  </si>
  <si>
    <t>Pagos</t>
  </si>
  <si>
    <t>Respuestas</t>
  </si>
  <si>
    <t>Cambios C</t>
  </si>
  <si>
    <t>Cambios P</t>
  </si>
  <si>
    <t>Elasticidad</t>
  </si>
  <si>
    <t>Rel Pagos/Total</t>
  </si>
  <si>
    <t>Consumo</t>
  </si>
  <si>
    <t>Precio</t>
  </si>
  <si>
    <t>Elasticidad por grupo</t>
  </si>
  <si>
    <t>Elasticidad promedio</t>
  </si>
  <si>
    <t>% Respuestas</t>
  </si>
  <si>
    <t>Elasticidad promedio global</t>
  </si>
  <si>
    <t>Sistema</t>
  </si>
  <si>
    <t>m3</t>
  </si>
  <si>
    <t>Barriles</t>
  </si>
  <si>
    <t>Donación</t>
  </si>
  <si>
    <t>Otros ingresos</t>
  </si>
  <si>
    <t>Transable</t>
  </si>
  <si>
    <t>MOC</t>
  </si>
  <si>
    <t>MONC</t>
  </si>
  <si>
    <t>Inversion social</t>
  </si>
  <si>
    <t>IVA</t>
  </si>
  <si>
    <t>Imunicipal</t>
  </si>
  <si>
    <t>Inversión con impuestos</t>
  </si>
  <si>
    <t>Transables</t>
  </si>
  <si>
    <t>FC</t>
  </si>
  <si>
    <t>Valor finan</t>
  </si>
  <si>
    <t>FCPromedio</t>
  </si>
  <si>
    <t>%peso</t>
  </si>
  <si>
    <t>Ponderacion</t>
  </si>
  <si>
    <r>
      <t>Costo 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promedio</t>
    </r>
  </si>
  <si>
    <r>
      <t>C$ / m</t>
    </r>
    <r>
      <rPr>
        <vertAlign val="superscript"/>
        <sz val="11"/>
        <color theme="1"/>
        <rFont val="Calibri"/>
        <family val="2"/>
        <scheme val="minor"/>
      </rPr>
      <t>3</t>
    </r>
  </si>
  <si>
    <t>Gasto C$</t>
  </si>
  <si>
    <r>
      <t>Nota: se divide la tarifa por 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por 1000</t>
    </r>
  </si>
  <si>
    <t>Total</t>
  </si>
  <si>
    <t>Se ha realizado una caracterización socioeconómica, productiva y de salud de la comunidad, encontrándose una elevada prevalencia de enfermedades de orígen hídrico, específicamente Enfermedades Diárreico Agudo (EDA). En promedio una persona va 3 veces al año al puesto de salud con EDA.</t>
  </si>
  <si>
    <t>Número de atenciones EDA en la comunidad</t>
  </si>
  <si>
    <t>Tasa EDA por persona</t>
  </si>
  <si>
    <t>Gasto anual en salud en EDA</t>
  </si>
  <si>
    <t>Tasa EDA por persona en comunidad testigo</t>
  </si>
  <si>
    <t>Población</t>
  </si>
  <si>
    <t>Indice de Hab/Vivienda</t>
  </si>
  <si>
    <t>AP</t>
  </si>
  <si>
    <t>AS</t>
  </si>
  <si>
    <t>Habitantes</t>
  </si>
  <si>
    <t>Porcentaje</t>
  </si>
  <si>
    <t>Cobertura AP</t>
  </si>
  <si>
    <t>Cobertura AS</t>
  </si>
  <si>
    <t>Localidad</t>
  </si>
  <si>
    <t>Telpaneca</t>
  </si>
  <si>
    <t>Totogalpa</t>
  </si>
  <si>
    <t>Somoto</t>
  </si>
  <si>
    <t>Conexiones Domiciliares</t>
  </si>
  <si>
    <t>Población total</t>
  </si>
  <si>
    <t>Población servida (legales)</t>
  </si>
  <si>
    <t>Cobertura (%)</t>
  </si>
  <si>
    <t>Conexiones domiciliares</t>
  </si>
  <si>
    <t>Dotación conexiones domiciliares (lpd)</t>
  </si>
  <si>
    <t>Categoría</t>
  </si>
  <si>
    <t>Cantidad</t>
  </si>
  <si>
    <t>%</t>
  </si>
  <si>
    <t>Consumo Facturado (m3)</t>
  </si>
  <si>
    <t>Población servida</t>
  </si>
  <si>
    <t>Conectados legalmente</t>
  </si>
  <si>
    <t>Industrial</t>
  </si>
  <si>
    <t>Comercial</t>
  </si>
  <si>
    <t>Gobierno</t>
  </si>
  <si>
    <t>Domiciliar medido</t>
  </si>
  <si>
    <t>Domiciliar no medido</t>
  </si>
  <si>
    <t>Conectados ilegalmente</t>
  </si>
  <si>
    <t xml:space="preserve"> Conexiones, consumo facturado y población servida</t>
  </si>
  <si>
    <t>A</t>
  </si>
  <si>
    <t>Producción total (m3/año)</t>
  </si>
  <si>
    <t>B=A*20%</t>
  </si>
  <si>
    <t>Pérdida técnica (20%)</t>
  </si>
  <si>
    <t>C=A-B</t>
  </si>
  <si>
    <t>Producción disponible a consumo</t>
  </si>
  <si>
    <t>D</t>
  </si>
  <si>
    <t>Consumo domiciliar facturado</t>
  </si>
  <si>
    <t>E</t>
  </si>
  <si>
    <t>Consumo no domiciliar facturado</t>
  </si>
  <si>
    <t>F=C-D-E</t>
  </si>
  <si>
    <t>Pérdida comercial (consumo no facturado)</t>
  </si>
  <si>
    <t>G=F/A</t>
  </si>
  <si>
    <t>(%) Pérdida comercial</t>
  </si>
  <si>
    <t>Estimación de la pérdida comercial</t>
  </si>
  <si>
    <t>Pozo</t>
  </si>
  <si>
    <t>Edad (años)</t>
  </si>
  <si>
    <t>Caudal (m³/d)</t>
  </si>
  <si>
    <t>Equipo de bombeo(HP)</t>
  </si>
  <si>
    <t>Oferta: Capacidad de producción de los pozos</t>
  </si>
  <si>
    <t>Sector 2</t>
  </si>
  <si>
    <t>Sector 4</t>
  </si>
  <si>
    <t>Sector 5</t>
  </si>
  <si>
    <t>Sector 6</t>
  </si>
  <si>
    <t>Sector 7</t>
  </si>
  <si>
    <t>Sector 8</t>
  </si>
  <si>
    <t>Proyección Demanda de las dotaciones (consumos) domiciliares "sin proyecto"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</si>
</sst>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.00_);_(* \(#,##0.00\);_(* &quot;-&quot;??_);_(@_)"/>
    <numFmt numFmtId="165" formatCode="&quot;C$&quot;\ #,##0_);[Red]\(&quot;C$&quot;\ #,##0\)"/>
    <numFmt numFmtId="166" formatCode="&quot;C$&quot;\ #,##0.00_);[Red]\(&quot;C$&quot;\ #,##0.00\)"/>
    <numFmt numFmtId="167" formatCode="0.000"/>
    <numFmt numFmtId="168" formatCode="_(* #,##0_);_(* \(#,##0\);_(* &quot;-&quot;??_);_(@_)"/>
    <numFmt numFmtId="169" formatCode="&quot;C$&quot;\ #,##0.000_);[Red]\(&quot;C$&quot;\ #,##0.000\)"/>
    <numFmt numFmtId="170" formatCode="&quot;C$&quot;\ #,##0.00000_);[Red]\(&quot;C$&quot;\ #,##0.00000\)"/>
    <numFmt numFmtId="171" formatCode="0.0000"/>
    <numFmt numFmtId="172" formatCode="_(* #,##0.0_);_(* \(#,##0.0\);_(* &quot;-&quot;??_);_(@_)"/>
    <numFmt numFmtId="173" formatCode="0.0%"/>
    <numFmt numFmtId="174" formatCode="0.000%"/>
    <numFmt numFmtId="175" formatCode="0.0"/>
    <numFmt numFmtId="176" formatCode="#,##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9" tint="-0.249977111117893"/>
      </left>
      <right style="dashed">
        <color theme="9" tint="-0.249977111117893"/>
      </right>
      <top style="dashed">
        <color theme="9" tint="-0.249977111117893"/>
      </top>
      <bottom style="dashed">
        <color theme="9" tint="-0.249977111117893"/>
      </bottom>
      <diagonal/>
    </border>
    <border>
      <left/>
      <right/>
      <top/>
      <bottom style="dashed">
        <color theme="9" tint="-0.249977111117893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7">
    <xf numFmtId="0" fontId="0" fillId="0" borderId="0" xfId="0"/>
    <xf numFmtId="0" fontId="3" fillId="0" borderId="0" xfId="0" applyFont="1"/>
    <xf numFmtId="0" fontId="0" fillId="2" borderId="0" xfId="0" applyFill="1"/>
    <xf numFmtId="0" fontId="0" fillId="3" borderId="0" xfId="0" applyFill="1"/>
    <xf numFmtId="166" fontId="0" fillId="2" borderId="0" xfId="0" applyNumberFormat="1" applyFill="1"/>
    <xf numFmtId="0" fontId="2" fillId="2" borderId="0" xfId="0" applyFont="1" applyFill="1"/>
    <xf numFmtId="0" fontId="0" fillId="4" borderId="0" xfId="0" applyFill="1"/>
    <xf numFmtId="165" fontId="0" fillId="4" borderId="0" xfId="0" applyNumberFormat="1" applyFill="1"/>
    <xf numFmtId="164" fontId="0" fillId="4" borderId="0" xfId="1" applyFont="1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164" fontId="0" fillId="2" borderId="0" xfId="1" applyFont="1" applyFill="1"/>
    <xf numFmtId="167" fontId="0" fillId="2" borderId="0" xfId="0" applyNumberForma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1" applyFont="1"/>
    <xf numFmtId="164" fontId="0" fillId="0" borderId="0" xfId="0" applyNumberFormat="1"/>
    <xf numFmtId="164" fontId="0" fillId="2" borderId="0" xfId="0" applyNumberFormat="1" applyFill="1"/>
    <xf numFmtId="164" fontId="2" fillId="2" borderId="0" xfId="0" applyNumberFormat="1" applyFont="1" applyFill="1"/>
    <xf numFmtId="9" fontId="0" fillId="0" borderId="0" xfId="0" applyNumberFormat="1"/>
    <xf numFmtId="9" fontId="0" fillId="4" borderId="0" xfId="0" applyNumberFormat="1" applyFill="1"/>
    <xf numFmtId="0" fontId="0" fillId="2" borderId="0" xfId="0" applyFill="1" applyAlignment="1">
      <alignment horizontal="left" vertical="center" wrapText="1"/>
    </xf>
    <xf numFmtId="170" fontId="0" fillId="2" borderId="0" xfId="0" applyNumberFormat="1" applyFill="1"/>
    <xf numFmtId="171" fontId="0" fillId="2" borderId="0" xfId="0" applyNumberFormat="1" applyFill="1" applyAlignment="1">
      <alignment horizontal="center"/>
    </xf>
    <xf numFmtId="0" fontId="0" fillId="0" borderId="0" xfId="0" applyFill="1"/>
    <xf numFmtId="0" fontId="0" fillId="5" borderId="0" xfId="0" applyFill="1"/>
    <xf numFmtId="0" fontId="3" fillId="0" borderId="0" xfId="0" applyFont="1" applyFill="1"/>
    <xf numFmtId="0" fontId="0" fillId="2" borderId="0" xfId="0" applyFill="1" applyAlignment="1">
      <alignment horizontal="right"/>
    </xf>
    <xf numFmtId="0" fontId="6" fillId="2" borderId="0" xfId="0" applyFont="1" applyFill="1"/>
    <xf numFmtId="0" fontId="0" fillId="2" borderId="0" xfId="0" applyFill="1" applyAlignment="1">
      <alignment horizontal="left" vertical="center"/>
    </xf>
    <xf numFmtId="0" fontId="0" fillId="2" borderId="2" xfId="0" applyFill="1" applyBorder="1"/>
    <xf numFmtId="164" fontId="0" fillId="2" borderId="2" xfId="1" applyFont="1" applyFill="1" applyBorder="1"/>
    <xf numFmtId="0" fontId="0" fillId="2" borderId="0" xfId="0" applyFill="1" applyBorder="1"/>
    <xf numFmtId="164" fontId="0" fillId="2" borderId="0" xfId="1" applyFont="1" applyFill="1" applyBorder="1"/>
    <xf numFmtId="0" fontId="0" fillId="2" borderId="3" xfId="0" applyFill="1" applyBorder="1"/>
    <xf numFmtId="164" fontId="0" fillId="2" borderId="3" xfId="1" applyFont="1" applyFill="1" applyBorder="1"/>
    <xf numFmtId="0" fontId="0" fillId="2" borderId="1" xfId="0" applyFill="1" applyBorder="1"/>
    <xf numFmtId="164" fontId="0" fillId="2" borderId="1" xfId="1" applyFont="1" applyFill="1" applyBorder="1"/>
    <xf numFmtId="10" fontId="0" fillId="2" borderId="0" xfId="0" applyNumberFormat="1" applyFill="1"/>
    <xf numFmtId="9" fontId="0" fillId="2" borderId="0" xfId="0" applyNumberFormat="1" applyFill="1"/>
    <xf numFmtId="164" fontId="0" fillId="3" borderId="0" xfId="0" applyNumberFormat="1" applyFill="1"/>
    <xf numFmtId="0" fontId="2" fillId="0" borderId="0" xfId="0" applyFont="1" applyAlignment="1">
      <alignment horizontal="left" vertical="center"/>
    </xf>
    <xf numFmtId="0" fontId="0" fillId="0" borderId="0" xfId="0" applyFill="1" applyAlignment="1">
      <alignment horizontal="center" vertical="center"/>
    </xf>
    <xf numFmtId="172" fontId="0" fillId="2" borderId="0" xfId="1" applyNumberFormat="1" applyFont="1" applyFill="1"/>
    <xf numFmtId="168" fontId="0" fillId="2" borderId="0" xfId="1" applyNumberFormat="1" applyFont="1" applyFill="1"/>
    <xf numFmtId="168" fontId="0" fillId="2" borderId="0" xfId="0" applyNumberFormat="1" applyFill="1"/>
    <xf numFmtId="0" fontId="4" fillId="2" borderId="0" xfId="0" applyFont="1" applyFill="1"/>
    <xf numFmtId="0" fontId="0" fillId="2" borderId="0" xfId="0" applyFont="1" applyFill="1"/>
    <xf numFmtId="173" fontId="0" fillId="2" borderId="0" xfId="2" applyNumberFormat="1" applyFont="1" applyFill="1"/>
    <xf numFmtId="167" fontId="0" fillId="2" borderId="0" xfId="0" applyNumberFormat="1" applyFill="1"/>
    <xf numFmtId="2" fontId="0" fillId="2" borderId="0" xfId="0" applyNumberFormat="1" applyFill="1"/>
    <xf numFmtId="175" fontId="0" fillId="2" borderId="0" xfId="0" applyNumberFormat="1" applyFill="1"/>
    <xf numFmtId="2" fontId="0" fillId="4" borderId="0" xfId="0" applyNumberFormat="1" applyFill="1"/>
    <xf numFmtId="168" fontId="0" fillId="4" borderId="0" xfId="1" applyNumberFormat="1" applyFont="1" applyFill="1"/>
    <xf numFmtId="164" fontId="0" fillId="0" borderId="0" xfId="0" applyNumberFormat="1" applyAlignment="1">
      <alignment horizontal="center" vertical="center"/>
    </xf>
    <xf numFmtId="164" fontId="2" fillId="2" borderId="0" xfId="1" applyFont="1" applyFill="1"/>
    <xf numFmtId="168" fontId="2" fillId="2" borderId="0" xfId="0" applyNumberFormat="1" applyFont="1" applyFill="1"/>
    <xf numFmtId="169" fontId="0" fillId="2" borderId="0" xfId="0" applyNumberFormat="1" applyFill="1"/>
    <xf numFmtId="166" fontId="2" fillId="2" borderId="0" xfId="0" applyNumberFormat="1" applyFont="1" applyFill="1"/>
    <xf numFmtId="164" fontId="0" fillId="2" borderId="0" xfId="0" applyNumberForma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/>
    <xf numFmtId="168" fontId="0" fillId="2" borderId="1" xfId="1" applyNumberFormat="1" applyFont="1" applyFill="1" applyBorder="1"/>
    <xf numFmtId="9" fontId="0" fillId="3" borderId="0" xfId="0" applyNumberFormat="1" applyFill="1"/>
    <xf numFmtId="172" fontId="0" fillId="2" borderId="1" xfId="1" applyNumberFormat="1" applyFont="1" applyFill="1" applyBorder="1"/>
    <xf numFmtId="9" fontId="0" fillId="2" borderId="0" xfId="2" applyFont="1" applyFill="1"/>
    <xf numFmtId="174" fontId="0" fillId="5" borderId="0" xfId="0" applyNumberFormat="1" applyFill="1"/>
    <xf numFmtId="9" fontId="0" fillId="0" borderId="0" xfId="0" applyNumberFormat="1" applyAlignment="1">
      <alignment horizontal="center" vertical="center"/>
    </xf>
    <xf numFmtId="10" fontId="0" fillId="4" borderId="0" xfId="2" applyNumberFormat="1" applyFont="1" applyFill="1" applyAlignment="1">
      <alignment horizontal="center"/>
    </xf>
    <xf numFmtId="0" fontId="0" fillId="6" borderId="0" xfId="0" applyFill="1"/>
    <xf numFmtId="39" fontId="0" fillId="6" borderId="0" xfId="1" applyNumberFormat="1" applyFont="1" applyFill="1"/>
    <xf numFmtId="0" fontId="0" fillId="0" borderId="3" xfId="0" applyBorder="1"/>
    <xf numFmtId="9" fontId="0" fillId="0" borderId="0" xfId="2" applyFont="1"/>
    <xf numFmtId="0" fontId="0" fillId="0" borderId="1" xfId="0" applyBorder="1"/>
    <xf numFmtId="0" fontId="0" fillId="0" borderId="5" xfId="0" applyBorder="1"/>
    <xf numFmtId="0" fontId="0" fillId="0" borderId="4" xfId="0" applyBorder="1"/>
    <xf numFmtId="0" fontId="2" fillId="0" borderId="1" xfId="0" applyFont="1" applyBorder="1"/>
    <xf numFmtId="0" fontId="2" fillId="0" borderId="6" xfId="0" applyFont="1" applyBorder="1"/>
    <xf numFmtId="0" fontId="0" fillId="0" borderId="6" xfId="0" applyBorder="1"/>
    <xf numFmtId="0" fontId="0" fillId="0" borderId="2" xfId="0" applyBorder="1"/>
    <xf numFmtId="0" fontId="0" fillId="0" borderId="0" xfId="0" applyBorder="1"/>
    <xf numFmtId="0" fontId="0" fillId="0" borderId="0" xfId="0" applyFill="1" applyBorder="1"/>
    <xf numFmtId="0" fontId="0" fillId="0" borderId="3" xfId="0" applyFill="1" applyBorder="1"/>
    <xf numFmtId="164" fontId="0" fillId="0" borderId="3" xfId="1" applyFont="1" applyBorder="1"/>
    <xf numFmtId="3" fontId="0" fillId="0" borderId="0" xfId="0" applyNumberFormat="1"/>
    <xf numFmtId="0" fontId="0" fillId="0" borderId="0" xfId="0" applyAlignment="1">
      <alignment wrapText="1"/>
    </xf>
    <xf numFmtId="176" fontId="0" fillId="0" borderId="0" xfId="0" applyNumberFormat="1" applyFill="1" applyBorder="1"/>
    <xf numFmtId="176" fontId="0" fillId="0" borderId="0" xfId="0" applyNumberFormat="1"/>
    <xf numFmtId="173" fontId="0" fillId="0" borderId="0" xfId="2" applyNumberFormat="1" applyFont="1"/>
    <xf numFmtId="9" fontId="0" fillId="0" borderId="0" xfId="2" applyNumberFormat="1" applyFont="1"/>
    <xf numFmtId="0" fontId="2" fillId="0" borderId="0" xfId="0" applyFont="1"/>
    <xf numFmtId="0" fontId="2" fillId="0" borderId="7" xfId="0" applyFont="1" applyBorder="1" applyAlignment="1"/>
    <xf numFmtId="0" fontId="2" fillId="0" borderId="7" xfId="0" applyFont="1" applyBorder="1" applyAlignment="1">
      <alignment wrapText="1"/>
    </xf>
    <xf numFmtId="0" fontId="0" fillId="0" borderId="7" xfId="0" applyBorder="1" applyAlignment="1">
      <alignment wrapText="1"/>
    </xf>
    <xf numFmtId="3" fontId="0" fillId="0" borderId="7" xfId="0" applyNumberFormat="1" applyBorder="1"/>
    <xf numFmtId="10" fontId="0" fillId="0" borderId="7" xfId="0" applyNumberFormat="1" applyBorder="1"/>
    <xf numFmtId="0" fontId="0" fillId="0" borderId="7" xfId="0" applyBorder="1"/>
    <xf numFmtId="0" fontId="0" fillId="7" borderId="7" xfId="0" applyFill="1" applyBorder="1"/>
    <xf numFmtId="3" fontId="0" fillId="7" borderId="7" xfId="0" applyNumberFormat="1" applyFill="1" applyBorder="1"/>
    <xf numFmtId="10" fontId="0" fillId="7" borderId="7" xfId="0" applyNumberFormat="1" applyFill="1" applyBorder="1"/>
    <xf numFmtId="3" fontId="2" fillId="0" borderId="7" xfId="0" applyNumberFormat="1" applyFont="1" applyBorder="1"/>
    <xf numFmtId="10" fontId="2" fillId="0" borderId="7" xfId="0" applyNumberFormat="1" applyFont="1" applyBorder="1"/>
    <xf numFmtId="0" fontId="2" fillId="0" borderId="7" xfId="0" applyFont="1" applyBorder="1"/>
    <xf numFmtId="0" fontId="7" fillId="0" borderId="7" xfId="0" applyFont="1" applyBorder="1" applyAlignment="1">
      <alignment wrapText="1"/>
    </xf>
    <xf numFmtId="3" fontId="8" fillId="0" borderId="7" xfId="0" applyNumberFormat="1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0" fillId="0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/>
    </xf>
    <xf numFmtId="0" fontId="0" fillId="0" borderId="2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0" fontId="0" fillId="0" borderId="0" xfId="0" applyNumberForma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706041</xdr:colOff>
      <xdr:row>2</xdr:row>
      <xdr:rowOff>91678</xdr:rowOff>
    </xdr:from>
    <xdr:to>
      <xdr:col>5</xdr:col>
      <xdr:colOff>858441</xdr:colOff>
      <xdr:row>6</xdr:row>
      <xdr:rowOff>59531</xdr:rowOff>
    </xdr:to>
    <xdr:sp macro="" textlink="">
      <xdr:nvSpPr>
        <xdr:cNvPr id="2" name="1 Llamada rectangular redondeada" descr="cea4ae63-6a21-4747-b982-8cc21db7d60a"/>
        <xdr:cNvSpPr/>
      </xdr:nvSpPr>
      <xdr:spPr>
        <a:xfrm>
          <a:off x="6367463" y="520303"/>
          <a:ext cx="1569244" cy="729853"/>
        </a:xfrm>
        <a:prstGeom prst="wedgeRoundRectCallout">
          <a:avLst>
            <a:gd name="adj1" fmla="val -60214"/>
            <a:gd name="adj2" fmla="val -22244"/>
            <a:gd name="adj3" fmla="val 16667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NI" sz="1100"/>
            <a:t>En</a:t>
          </a:r>
          <a:r>
            <a:rPr lang="es-NI" sz="1100" baseline="0"/>
            <a:t> el contexto rural es común que acarreen las mujeres y niños.</a:t>
          </a:r>
          <a:endParaRPr lang="es-NI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2"/>
  <sheetViews>
    <sheetView tabSelected="1" workbookViewId="0">
      <selection activeCell="I22" sqref="I22"/>
    </sheetView>
  </sheetViews>
  <sheetFormatPr baseColWidth="10" defaultRowHeight="15" x14ac:dyDescent="0.25"/>
  <cols>
    <col min="5" max="5" width="12.7109375" customWidth="1"/>
    <col min="6" max="6" width="12.42578125" customWidth="1"/>
    <col min="8" max="8" width="13.42578125" customWidth="1"/>
    <col min="9" max="9" width="12.7109375" customWidth="1"/>
    <col min="10" max="10" width="9.5703125" customWidth="1"/>
    <col min="11" max="11" width="13.85546875" customWidth="1"/>
    <col min="15" max="15" width="17.28515625" customWidth="1"/>
  </cols>
  <sheetData>
    <row r="2" spans="1:11" hidden="1" x14ac:dyDescent="0.25">
      <c r="A2" s="109" t="s">
        <v>214</v>
      </c>
      <c r="B2" s="107" t="s">
        <v>206</v>
      </c>
      <c r="C2" s="110" t="s">
        <v>207</v>
      </c>
      <c r="D2" s="91" t="s">
        <v>218</v>
      </c>
      <c r="E2" s="91"/>
      <c r="F2" s="107" t="s">
        <v>212</v>
      </c>
      <c r="G2" s="107"/>
      <c r="H2" s="91" t="s">
        <v>213</v>
      </c>
      <c r="I2" s="91"/>
    </row>
    <row r="3" spans="1:11" hidden="1" x14ac:dyDescent="0.25">
      <c r="A3" s="109"/>
      <c r="B3" s="107"/>
      <c r="C3" s="110"/>
      <c r="D3" s="91" t="s">
        <v>208</v>
      </c>
      <c r="E3" s="91" t="s">
        <v>209</v>
      </c>
      <c r="F3" s="91" t="s">
        <v>210</v>
      </c>
      <c r="G3" s="91" t="s">
        <v>211</v>
      </c>
      <c r="H3" s="91" t="s">
        <v>210</v>
      </c>
      <c r="I3" s="91" t="s">
        <v>211</v>
      </c>
    </row>
    <row r="4" spans="1:11" hidden="1" x14ac:dyDescent="0.25">
      <c r="A4" t="s">
        <v>217</v>
      </c>
      <c r="B4" s="85">
        <v>9643</v>
      </c>
      <c r="C4" s="87">
        <v>5.0999999999999996</v>
      </c>
      <c r="D4">
        <v>8069</v>
      </c>
      <c r="E4">
        <v>1513</v>
      </c>
      <c r="F4">
        <v>9643</v>
      </c>
      <c r="G4" s="90">
        <f>F4/B4</f>
        <v>1</v>
      </c>
      <c r="H4">
        <v>10</v>
      </c>
      <c r="I4" s="89">
        <f>H4/B4</f>
        <v>1.0370216737529815E-3</v>
      </c>
    </row>
    <row r="5" spans="1:11" hidden="1" x14ac:dyDescent="0.25">
      <c r="A5" t="s">
        <v>215</v>
      </c>
      <c r="B5" s="85">
        <v>4181</v>
      </c>
      <c r="C5" s="87">
        <v>4.3</v>
      </c>
      <c r="D5">
        <v>1496</v>
      </c>
      <c r="E5">
        <v>32</v>
      </c>
      <c r="F5">
        <v>2161</v>
      </c>
      <c r="G5" s="90">
        <f t="shared" ref="G5:G6" si="0">F5/B5</f>
        <v>0.5168619947381009</v>
      </c>
      <c r="H5">
        <v>5</v>
      </c>
      <c r="I5" s="89">
        <f t="shared" ref="I5:I6" si="1">H5/B5</f>
        <v>1.1958861516383639E-3</v>
      </c>
    </row>
    <row r="6" spans="1:11" hidden="1" x14ac:dyDescent="0.25">
      <c r="A6" t="s">
        <v>216</v>
      </c>
      <c r="B6" s="85">
        <v>4648</v>
      </c>
      <c r="C6" s="88">
        <v>4.8</v>
      </c>
      <c r="D6">
        <v>762</v>
      </c>
      <c r="E6">
        <v>26</v>
      </c>
      <c r="F6">
        <v>1523</v>
      </c>
      <c r="G6" s="90">
        <f t="shared" si="0"/>
        <v>0.32766781411359724</v>
      </c>
      <c r="I6" s="89">
        <f t="shared" si="1"/>
        <v>0</v>
      </c>
    </row>
    <row r="8" spans="1:11" x14ac:dyDescent="0.25">
      <c r="A8" s="106" t="s">
        <v>263</v>
      </c>
      <c r="B8" s="106"/>
      <c r="C8" s="106"/>
      <c r="D8" s="106"/>
      <c r="E8" s="106"/>
      <c r="F8" s="106"/>
      <c r="H8" s="108" t="s">
        <v>256</v>
      </c>
      <c r="I8" s="108"/>
      <c r="J8" s="108"/>
      <c r="K8" s="108"/>
    </row>
    <row r="9" spans="1:11" ht="44.25" customHeight="1" x14ac:dyDescent="0.25">
      <c r="A9" s="94"/>
      <c r="B9" s="94" t="s">
        <v>219</v>
      </c>
      <c r="C9" s="94" t="s">
        <v>220</v>
      </c>
      <c r="D9" s="94" t="s">
        <v>221</v>
      </c>
      <c r="E9" s="94" t="s">
        <v>222</v>
      </c>
      <c r="F9" s="94" t="s">
        <v>223</v>
      </c>
      <c r="H9" s="93" t="s">
        <v>252</v>
      </c>
      <c r="I9" s="93" t="s">
        <v>253</v>
      </c>
      <c r="J9" s="93" t="s">
        <v>254</v>
      </c>
      <c r="K9" s="93" t="s">
        <v>255</v>
      </c>
    </row>
    <row r="10" spans="1:11" x14ac:dyDescent="0.25">
      <c r="A10" s="97" t="s">
        <v>117</v>
      </c>
      <c r="B10" s="97"/>
      <c r="C10" s="97"/>
      <c r="D10" s="97"/>
      <c r="E10" s="97"/>
      <c r="F10" s="97"/>
      <c r="H10" s="97" t="s">
        <v>257</v>
      </c>
      <c r="I10" s="97">
        <v>35</v>
      </c>
      <c r="J10" s="95">
        <v>1592</v>
      </c>
      <c r="K10" s="97">
        <v>40</v>
      </c>
    </row>
    <row r="11" spans="1:11" x14ac:dyDescent="0.25">
      <c r="A11" s="97">
        <v>2010</v>
      </c>
      <c r="B11" s="95">
        <v>37924</v>
      </c>
      <c r="C11" s="95">
        <v>26714</v>
      </c>
      <c r="D11" s="96">
        <v>0.70440000000000003</v>
      </c>
      <c r="E11" s="95">
        <v>5269</v>
      </c>
      <c r="F11" s="97">
        <v>126.33</v>
      </c>
      <c r="H11" s="97" t="s">
        <v>258</v>
      </c>
      <c r="I11" s="97">
        <v>27</v>
      </c>
      <c r="J11" s="95">
        <v>1308</v>
      </c>
      <c r="K11" s="97">
        <v>30</v>
      </c>
    </row>
    <row r="12" spans="1:11" x14ac:dyDescent="0.25">
      <c r="A12" s="97">
        <v>2011</v>
      </c>
      <c r="B12" s="95">
        <v>38720</v>
      </c>
      <c r="C12" s="95">
        <v>26967</v>
      </c>
      <c r="D12" s="96">
        <v>0.69650000000000001</v>
      </c>
      <c r="E12" s="95">
        <v>5319</v>
      </c>
      <c r="F12" s="97">
        <v>125.14</v>
      </c>
      <c r="H12" s="97" t="s">
        <v>259</v>
      </c>
      <c r="I12" s="97">
        <v>27</v>
      </c>
      <c r="J12" s="95">
        <v>1412</v>
      </c>
      <c r="K12" s="97">
        <v>30</v>
      </c>
    </row>
    <row r="13" spans="1:11" x14ac:dyDescent="0.25">
      <c r="A13" s="97">
        <v>2012</v>
      </c>
      <c r="B13" s="95">
        <v>39533</v>
      </c>
      <c r="C13" s="95">
        <v>27221</v>
      </c>
      <c r="D13" s="96">
        <v>0.68859999999999999</v>
      </c>
      <c r="E13" s="95">
        <v>5369</v>
      </c>
      <c r="F13" s="97">
        <v>123.97</v>
      </c>
      <c r="H13" s="97" t="s">
        <v>260</v>
      </c>
      <c r="I13" s="97">
        <v>12</v>
      </c>
      <c r="J13" s="95">
        <v>1463</v>
      </c>
      <c r="K13" s="97">
        <v>40</v>
      </c>
    </row>
    <row r="14" spans="1:11" x14ac:dyDescent="0.25">
      <c r="A14" s="97">
        <v>2013</v>
      </c>
      <c r="B14" s="95">
        <v>40363</v>
      </c>
      <c r="C14" s="95">
        <v>27474</v>
      </c>
      <c r="D14" s="96">
        <v>0.68069999999999997</v>
      </c>
      <c r="E14" s="95">
        <v>5419</v>
      </c>
      <c r="F14" s="97">
        <v>122.83</v>
      </c>
      <c r="H14" s="97" t="s">
        <v>261</v>
      </c>
      <c r="I14" s="97">
        <v>12</v>
      </c>
      <c r="J14" s="95">
        <v>719</v>
      </c>
      <c r="K14" s="97">
        <v>25</v>
      </c>
    </row>
    <row r="15" spans="1:11" x14ac:dyDescent="0.25">
      <c r="A15" s="97">
        <v>2014</v>
      </c>
      <c r="B15" s="95">
        <v>41211</v>
      </c>
      <c r="C15" s="95">
        <v>27728</v>
      </c>
      <c r="D15" s="96">
        <v>0.67279999999999995</v>
      </c>
      <c r="E15" s="95">
        <v>5469</v>
      </c>
      <c r="F15" s="97">
        <v>121.71</v>
      </c>
      <c r="H15" s="97" t="s">
        <v>262</v>
      </c>
      <c r="I15" s="97">
        <v>2</v>
      </c>
      <c r="J15" s="95">
        <v>2120</v>
      </c>
      <c r="K15" s="97">
        <v>60</v>
      </c>
    </row>
    <row r="16" spans="1:11" x14ac:dyDescent="0.25">
      <c r="A16" s="97">
        <v>2015</v>
      </c>
      <c r="B16" s="95">
        <v>42076</v>
      </c>
      <c r="C16" s="95">
        <v>27981</v>
      </c>
      <c r="D16" s="96">
        <v>0.66500000000000004</v>
      </c>
      <c r="E16" s="95">
        <v>5519</v>
      </c>
      <c r="F16" s="97">
        <v>120.6</v>
      </c>
      <c r="H16" s="103" t="s">
        <v>200</v>
      </c>
      <c r="I16" s="103"/>
      <c r="J16" s="105">
        <v>8614</v>
      </c>
      <c r="K16" s="97"/>
    </row>
    <row r="17" spans="1:12" x14ac:dyDescent="0.25">
      <c r="A17" s="97">
        <v>2016</v>
      </c>
      <c r="B17" s="95">
        <v>42960</v>
      </c>
      <c r="C17" s="95">
        <v>28235</v>
      </c>
      <c r="D17" s="96">
        <v>0.65720000000000001</v>
      </c>
      <c r="E17" s="95">
        <v>5569</v>
      </c>
      <c r="F17" s="97">
        <v>119.52</v>
      </c>
    </row>
    <row r="18" spans="1:12" x14ac:dyDescent="0.25">
      <c r="A18" s="97">
        <v>2017</v>
      </c>
      <c r="B18" s="95">
        <v>43862</v>
      </c>
      <c r="C18" s="95">
        <v>28488</v>
      </c>
      <c r="D18" s="96">
        <v>0.64949999999999997</v>
      </c>
      <c r="E18" s="95">
        <v>5619</v>
      </c>
      <c r="F18" s="97">
        <v>118.46</v>
      </c>
    </row>
    <row r="19" spans="1:12" x14ac:dyDescent="0.25">
      <c r="A19" s="97">
        <v>2018</v>
      </c>
      <c r="B19" s="95">
        <v>44783</v>
      </c>
      <c r="C19" s="95">
        <v>28742</v>
      </c>
      <c r="D19" s="96">
        <v>0.64180000000000004</v>
      </c>
      <c r="E19" s="95">
        <v>5669</v>
      </c>
      <c r="F19" s="97">
        <v>117.41</v>
      </c>
    </row>
    <row r="20" spans="1:12" x14ac:dyDescent="0.25">
      <c r="A20" s="98">
        <v>2019</v>
      </c>
      <c r="B20" s="99">
        <v>45723</v>
      </c>
      <c r="C20" s="99">
        <v>28995</v>
      </c>
      <c r="D20" s="100">
        <v>0.63419999999999999</v>
      </c>
      <c r="E20" s="99">
        <v>5719</v>
      </c>
      <c r="F20" s="98">
        <v>116.39</v>
      </c>
      <c r="I20" s="85"/>
      <c r="J20" s="116"/>
      <c r="K20" s="85"/>
      <c r="L20" s="85"/>
    </row>
    <row r="21" spans="1:12" x14ac:dyDescent="0.25">
      <c r="A21" s="97">
        <v>2020</v>
      </c>
      <c r="B21" s="95">
        <v>46683</v>
      </c>
      <c r="C21" s="95">
        <v>29249</v>
      </c>
      <c r="D21" s="96">
        <v>0.62649999999999995</v>
      </c>
      <c r="E21" s="95">
        <v>5769</v>
      </c>
      <c r="F21" s="97">
        <v>115.38</v>
      </c>
      <c r="J21" s="116"/>
      <c r="K21" s="85"/>
    </row>
    <row r="22" spans="1:12" x14ac:dyDescent="0.25">
      <c r="A22" s="97">
        <v>2021</v>
      </c>
      <c r="B22" s="95">
        <v>47663</v>
      </c>
      <c r="C22" s="95">
        <v>29502</v>
      </c>
      <c r="D22" s="96">
        <v>0.61899999999999999</v>
      </c>
      <c r="E22" s="95">
        <v>5819</v>
      </c>
      <c r="F22" s="97">
        <v>114.39</v>
      </c>
      <c r="J22" s="116"/>
      <c r="K22" s="85"/>
    </row>
    <row r="23" spans="1:12" x14ac:dyDescent="0.25">
      <c r="A23" s="97">
        <v>2022</v>
      </c>
      <c r="B23" s="95">
        <v>48664</v>
      </c>
      <c r="C23" s="95">
        <v>29756</v>
      </c>
      <c r="D23" s="96">
        <v>0.61150000000000004</v>
      </c>
      <c r="E23" s="95">
        <v>5869</v>
      </c>
      <c r="F23" s="97">
        <v>113.41</v>
      </c>
      <c r="J23" s="116"/>
      <c r="K23" s="85"/>
    </row>
    <row r="24" spans="1:12" x14ac:dyDescent="0.25">
      <c r="A24" s="97">
        <v>2023</v>
      </c>
      <c r="B24" s="95">
        <v>49686</v>
      </c>
      <c r="C24" s="95">
        <v>30009</v>
      </c>
      <c r="D24" s="96">
        <v>0.60399999999999998</v>
      </c>
      <c r="E24" s="95">
        <v>5919</v>
      </c>
      <c r="F24" s="97">
        <v>112.45</v>
      </c>
      <c r="I24" s="85"/>
      <c r="J24" s="116"/>
      <c r="K24" s="85"/>
      <c r="L24" s="85"/>
    </row>
    <row r="25" spans="1:12" x14ac:dyDescent="0.25">
      <c r="A25" s="97">
        <v>2024</v>
      </c>
      <c r="B25" s="95">
        <v>50729</v>
      </c>
      <c r="C25" s="95">
        <v>30263</v>
      </c>
      <c r="D25" s="96">
        <v>0.59660000000000002</v>
      </c>
      <c r="E25" s="95">
        <v>5969</v>
      </c>
      <c r="F25" s="97">
        <v>111.51</v>
      </c>
      <c r="I25" s="85"/>
      <c r="J25" s="116"/>
      <c r="K25" s="85"/>
      <c r="L25" s="85"/>
    </row>
    <row r="26" spans="1:12" x14ac:dyDescent="0.25">
      <c r="A26" s="97">
        <v>2025</v>
      </c>
      <c r="B26" s="95">
        <v>51794</v>
      </c>
      <c r="C26" s="95">
        <v>30516</v>
      </c>
      <c r="D26" s="96">
        <v>0.58919999999999995</v>
      </c>
      <c r="E26" s="95">
        <v>6019</v>
      </c>
      <c r="F26" s="97">
        <v>110.59</v>
      </c>
      <c r="I26" s="85"/>
      <c r="J26" s="116"/>
      <c r="L26" s="85"/>
    </row>
    <row r="27" spans="1:12" x14ac:dyDescent="0.25">
      <c r="A27" s="97">
        <v>2026</v>
      </c>
      <c r="B27" s="95">
        <v>52882</v>
      </c>
      <c r="C27" s="95">
        <v>30770</v>
      </c>
      <c r="D27" s="96">
        <v>0.58189999999999997</v>
      </c>
      <c r="E27" s="95">
        <v>6069</v>
      </c>
      <c r="F27" s="97">
        <v>109.67</v>
      </c>
      <c r="I27" s="85"/>
      <c r="J27" s="116"/>
      <c r="L27" s="85"/>
    </row>
    <row r="28" spans="1:12" x14ac:dyDescent="0.25">
      <c r="A28" s="97">
        <v>2027</v>
      </c>
      <c r="B28" s="95">
        <v>53993</v>
      </c>
      <c r="C28" s="95">
        <v>31023</v>
      </c>
      <c r="D28" s="96">
        <v>0.5746</v>
      </c>
      <c r="E28" s="95">
        <v>6119</v>
      </c>
      <c r="F28" s="97">
        <v>108.78</v>
      </c>
    </row>
    <row r="29" spans="1:12" x14ac:dyDescent="0.25">
      <c r="A29" s="97">
        <v>2028</v>
      </c>
      <c r="B29" s="95">
        <v>55127</v>
      </c>
      <c r="C29" s="95">
        <v>31277</v>
      </c>
      <c r="D29" s="96">
        <v>0.56740000000000002</v>
      </c>
      <c r="E29" s="95">
        <v>6169</v>
      </c>
      <c r="F29" s="97">
        <v>107.9</v>
      </c>
    </row>
    <row r="30" spans="1:12" x14ac:dyDescent="0.25">
      <c r="A30" s="97">
        <v>2029</v>
      </c>
      <c r="B30" s="95">
        <v>56285</v>
      </c>
      <c r="C30" s="95">
        <v>31530</v>
      </c>
      <c r="D30" s="96">
        <v>0.56020000000000003</v>
      </c>
      <c r="E30" s="95">
        <v>6219</v>
      </c>
      <c r="F30" s="97">
        <v>107.03</v>
      </c>
    </row>
    <row r="31" spans="1:12" x14ac:dyDescent="0.25">
      <c r="A31" s="97">
        <v>2030</v>
      </c>
      <c r="B31" s="95">
        <v>57467</v>
      </c>
      <c r="C31" s="95">
        <v>31784</v>
      </c>
      <c r="D31" s="96">
        <v>0.55310000000000004</v>
      </c>
      <c r="E31" s="95">
        <v>6269</v>
      </c>
      <c r="F31" s="97">
        <v>106.18</v>
      </c>
    </row>
    <row r="33" spans="1:9" x14ac:dyDescent="0.25">
      <c r="A33" s="106" t="s">
        <v>236</v>
      </c>
      <c r="B33" s="106"/>
      <c r="C33" s="106"/>
      <c r="D33" s="106"/>
      <c r="E33" s="106"/>
      <c r="G33" s="107" t="s">
        <v>251</v>
      </c>
      <c r="H33" s="107"/>
      <c r="I33" s="107"/>
    </row>
    <row r="34" spans="1:9" ht="45" customHeight="1" x14ac:dyDescent="0.25">
      <c r="A34" s="92" t="s">
        <v>224</v>
      </c>
      <c r="B34" s="92" t="s">
        <v>225</v>
      </c>
      <c r="C34" s="92" t="s">
        <v>226</v>
      </c>
      <c r="D34" s="93" t="s">
        <v>227</v>
      </c>
      <c r="E34" s="93" t="s">
        <v>228</v>
      </c>
      <c r="G34" s="97" t="s">
        <v>237</v>
      </c>
      <c r="H34" s="104" t="s">
        <v>238</v>
      </c>
      <c r="I34" s="95">
        <v>2740000</v>
      </c>
    </row>
    <row r="35" spans="1:9" ht="36" customHeight="1" x14ac:dyDescent="0.25">
      <c r="A35" s="94" t="s">
        <v>229</v>
      </c>
      <c r="B35" s="95">
        <v>5890</v>
      </c>
      <c r="C35" s="96">
        <v>0.84</v>
      </c>
      <c r="D35" s="95">
        <v>1446490</v>
      </c>
      <c r="E35" s="95">
        <v>26714</v>
      </c>
      <c r="G35" s="97" t="s">
        <v>239</v>
      </c>
      <c r="H35" s="104" t="s">
        <v>240</v>
      </c>
      <c r="I35" s="95">
        <v>548000</v>
      </c>
    </row>
    <row r="36" spans="1:9" ht="36" customHeight="1" x14ac:dyDescent="0.25">
      <c r="A36" s="94" t="s">
        <v>230</v>
      </c>
      <c r="B36" s="97">
        <v>9</v>
      </c>
      <c r="C36" s="96">
        <v>1.2999999999999999E-3</v>
      </c>
      <c r="D36" s="95">
        <v>1530</v>
      </c>
      <c r="E36" s="97"/>
      <c r="G36" s="97" t="s">
        <v>241</v>
      </c>
      <c r="H36" s="104" t="s">
        <v>242</v>
      </c>
      <c r="I36" s="95">
        <v>2192000</v>
      </c>
    </row>
    <row r="37" spans="1:9" ht="36" customHeight="1" x14ac:dyDescent="0.25">
      <c r="A37" s="94" t="s">
        <v>231</v>
      </c>
      <c r="B37" s="97">
        <v>552</v>
      </c>
      <c r="C37" s="96">
        <v>7.8700000000000006E-2</v>
      </c>
      <c r="D37" s="95">
        <v>154380</v>
      </c>
      <c r="E37" s="97"/>
      <c r="G37" s="97" t="s">
        <v>243</v>
      </c>
      <c r="H37" s="104" t="s">
        <v>244</v>
      </c>
      <c r="I37" s="95">
        <v>1214880</v>
      </c>
    </row>
    <row r="38" spans="1:9" ht="36" customHeight="1" x14ac:dyDescent="0.25">
      <c r="A38" s="94" t="s">
        <v>232</v>
      </c>
      <c r="B38" s="97">
        <v>60</v>
      </c>
      <c r="C38" s="96">
        <v>8.6E-3</v>
      </c>
      <c r="D38" s="95">
        <v>75700</v>
      </c>
      <c r="E38" s="97"/>
      <c r="G38" s="97" t="s">
        <v>245</v>
      </c>
      <c r="H38" s="104" t="s">
        <v>246</v>
      </c>
      <c r="I38" s="95">
        <v>231610</v>
      </c>
    </row>
    <row r="39" spans="1:9" ht="36" customHeight="1" x14ac:dyDescent="0.25">
      <c r="A39" s="94" t="s">
        <v>233</v>
      </c>
      <c r="B39" s="95">
        <v>3803</v>
      </c>
      <c r="C39" s="96">
        <v>0.54239999999999999</v>
      </c>
      <c r="D39" s="95">
        <v>951000</v>
      </c>
      <c r="E39" s="95">
        <v>19281</v>
      </c>
      <c r="G39" s="97" t="s">
        <v>247</v>
      </c>
      <c r="H39" s="104" t="s">
        <v>248</v>
      </c>
      <c r="I39" s="95">
        <v>745510</v>
      </c>
    </row>
    <row r="40" spans="1:9" ht="36" customHeight="1" x14ac:dyDescent="0.25">
      <c r="A40" s="94" t="s">
        <v>234</v>
      </c>
      <c r="B40" s="95">
        <v>1466</v>
      </c>
      <c r="C40" s="96">
        <v>0.20910000000000001</v>
      </c>
      <c r="D40" s="95">
        <v>263880</v>
      </c>
      <c r="E40" s="95">
        <v>7433</v>
      </c>
      <c r="G40" s="97" t="s">
        <v>249</v>
      </c>
      <c r="H40" s="104" t="s">
        <v>250</v>
      </c>
      <c r="I40" s="96">
        <v>0.27210000000000001</v>
      </c>
    </row>
    <row r="41" spans="1:9" ht="36" customHeight="1" x14ac:dyDescent="0.25">
      <c r="A41" s="94" t="s">
        <v>235</v>
      </c>
      <c r="B41" s="95">
        <v>1122</v>
      </c>
      <c r="C41" s="96">
        <v>0.16</v>
      </c>
      <c r="D41" s="97"/>
      <c r="E41" s="95">
        <v>5689</v>
      </c>
    </row>
    <row r="42" spans="1:9" x14ac:dyDescent="0.25">
      <c r="A42" s="93" t="s">
        <v>200</v>
      </c>
      <c r="B42" s="101">
        <v>7012</v>
      </c>
      <c r="C42" s="102">
        <v>1</v>
      </c>
      <c r="D42" s="103"/>
      <c r="E42" s="101">
        <v>32403</v>
      </c>
    </row>
  </sheetData>
  <mergeCells count="8">
    <mergeCell ref="A8:F8"/>
    <mergeCell ref="A33:E33"/>
    <mergeCell ref="G33:I33"/>
    <mergeCell ref="H8:K8"/>
    <mergeCell ref="A2:A3"/>
    <mergeCell ref="C2:C3"/>
    <mergeCell ref="F2:G2"/>
    <mergeCell ref="B2:B3"/>
  </mergeCells>
  <pageMargins left="0.7" right="0.7" top="0.75" bottom="0.75" header="0.3" footer="0.3"/>
  <pageSetup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51"/>
  <sheetViews>
    <sheetView topLeftCell="A28" zoomScale="130" zoomScaleNormal="130" workbookViewId="0">
      <selection activeCell="B51" sqref="B51"/>
    </sheetView>
  </sheetViews>
  <sheetFormatPr baseColWidth="10" defaultRowHeight="15" x14ac:dyDescent="0.25"/>
  <cols>
    <col min="2" max="2" width="12.140625" customWidth="1"/>
  </cols>
  <sheetData>
    <row r="1" spans="2:9" x14ac:dyDescent="0.25">
      <c r="C1" s="107" t="s">
        <v>166</v>
      </c>
      <c r="D1" s="107"/>
      <c r="E1" s="107"/>
      <c r="F1" s="107"/>
      <c r="G1" s="107"/>
      <c r="H1" s="107"/>
    </row>
    <row r="2" spans="2:9" x14ac:dyDescent="0.25">
      <c r="B2" s="78" t="s">
        <v>165</v>
      </c>
      <c r="C2" s="74">
        <v>20</v>
      </c>
      <c r="D2" s="74">
        <v>25</v>
      </c>
      <c r="E2" s="74">
        <v>30</v>
      </c>
      <c r="F2" s="74">
        <v>35</v>
      </c>
      <c r="G2" s="74">
        <v>40</v>
      </c>
      <c r="H2" s="74">
        <v>50</v>
      </c>
      <c r="I2" s="77" t="s">
        <v>167</v>
      </c>
    </row>
    <row r="3" spans="2:9" x14ac:dyDescent="0.25">
      <c r="B3">
        <v>15</v>
      </c>
      <c r="C3">
        <v>11</v>
      </c>
      <c r="D3">
        <v>7</v>
      </c>
      <c r="E3">
        <v>4</v>
      </c>
      <c r="I3">
        <f>+SUM(C3:H3)</f>
        <v>22</v>
      </c>
    </row>
    <row r="4" spans="2:9" x14ac:dyDescent="0.25">
      <c r="B4">
        <v>20</v>
      </c>
      <c r="C4">
        <v>9</v>
      </c>
      <c r="D4">
        <v>8</v>
      </c>
      <c r="E4">
        <v>7</v>
      </c>
      <c r="I4">
        <f t="shared" ref="I4:I7" si="0">+SUM(C4:H4)</f>
        <v>24</v>
      </c>
    </row>
    <row r="5" spans="2:9" x14ac:dyDescent="0.25">
      <c r="B5">
        <v>25</v>
      </c>
      <c r="C5">
        <v>8</v>
      </c>
      <c r="D5">
        <v>9</v>
      </c>
      <c r="E5">
        <v>4</v>
      </c>
      <c r="I5">
        <f t="shared" si="0"/>
        <v>21</v>
      </c>
    </row>
    <row r="6" spans="2:9" x14ac:dyDescent="0.25">
      <c r="B6">
        <v>30</v>
      </c>
      <c r="C6">
        <v>6</v>
      </c>
      <c r="D6">
        <v>8</v>
      </c>
      <c r="E6">
        <v>7</v>
      </c>
      <c r="I6">
        <f t="shared" si="0"/>
        <v>21</v>
      </c>
    </row>
    <row r="7" spans="2:9" x14ac:dyDescent="0.25">
      <c r="B7" s="72">
        <v>35</v>
      </c>
      <c r="C7" s="72">
        <v>7</v>
      </c>
      <c r="D7" s="72">
        <v>11</v>
      </c>
      <c r="E7" s="72">
        <v>4</v>
      </c>
      <c r="F7" s="72"/>
      <c r="G7" s="72"/>
      <c r="H7" s="72"/>
      <c r="I7" s="72">
        <f t="shared" si="0"/>
        <v>22</v>
      </c>
    </row>
    <row r="8" spans="2:9" x14ac:dyDescent="0.25">
      <c r="B8" s="74"/>
      <c r="C8" s="74">
        <f>SUM(C3:C6)</f>
        <v>34</v>
      </c>
      <c r="D8" s="74">
        <f t="shared" ref="D8:H8" si="1">SUM(D3:D6)</f>
        <v>32</v>
      </c>
      <c r="E8" s="74">
        <f t="shared" si="1"/>
        <v>22</v>
      </c>
      <c r="F8" s="74">
        <f t="shared" si="1"/>
        <v>0</v>
      </c>
      <c r="G8" s="74">
        <f t="shared" si="1"/>
        <v>0</v>
      </c>
      <c r="H8" s="74">
        <f t="shared" si="1"/>
        <v>0</v>
      </c>
      <c r="I8" s="74">
        <f>SUM(C8:H8)</f>
        <v>88</v>
      </c>
    </row>
    <row r="10" spans="2:9" x14ac:dyDescent="0.25">
      <c r="B10" s="79"/>
      <c r="C10" s="114" t="s">
        <v>173</v>
      </c>
      <c r="D10" s="114"/>
      <c r="E10" s="114"/>
      <c r="F10" s="114"/>
      <c r="G10" s="114"/>
    </row>
    <row r="11" spans="2:9" x14ac:dyDescent="0.25">
      <c r="B11" s="78" t="s">
        <v>172</v>
      </c>
      <c r="C11" s="74">
        <f t="shared" ref="C11:H11" si="2">+C2</f>
        <v>20</v>
      </c>
      <c r="D11" s="74">
        <f t="shared" si="2"/>
        <v>25</v>
      </c>
      <c r="E11" s="74">
        <f t="shared" si="2"/>
        <v>30</v>
      </c>
      <c r="F11" s="74">
        <f t="shared" si="2"/>
        <v>35</v>
      </c>
      <c r="G11" s="74">
        <f t="shared" si="2"/>
        <v>40</v>
      </c>
      <c r="H11" s="74">
        <f t="shared" si="2"/>
        <v>50</v>
      </c>
    </row>
    <row r="12" spans="2:9" x14ac:dyDescent="0.25">
      <c r="B12" s="75">
        <f>+B3</f>
        <v>15</v>
      </c>
      <c r="C12">
        <f>+$C$11/B12</f>
        <v>1.3333333333333333</v>
      </c>
      <c r="D12">
        <f>+$D$11/B12</f>
        <v>1.6666666666666667</v>
      </c>
      <c r="E12">
        <f>+$E$11/B12</f>
        <v>2</v>
      </c>
      <c r="F12">
        <f>+$F$11/B12</f>
        <v>2.3333333333333335</v>
      </c>
      <c r="G12">
        <f>+$G$11/B12</f>
        <v>2.6666666666666665</v>
      </c>
      <c r="H12">
        <f>+$H$11/B12</f>
        <v>3.3333333333333335</v>
      </c>
    </row>
    <row r="13" spans="2:9" x14ac:dyDescent="0.25">
      <c r="B13" s="75">
        <f t="shared" ref="B13:B16" si="3">+B4</f>
        <v>20</v>
      </c>
      <c r="C13">
        <f>+$C$11/B13</f>
        <v>1</v>
      </c>
      <c r="D13">
        <f>+$D$11/B13</f>
        <v>1.25</v>
      </c>
      <c r="E13">
        <f>+$E$11/B13</f>
        <v>1.5</v>
      </c>
      <c r="F13">
        <f>+$F$11/B13</f>
        <v>1.75</v>
      </c>
      <c r="G13">
        <f t="shared" ref="G13:G15" si="4">+$G$11/B13</f>
        <v>2</v>
      </c>
      <c r="H13">
        <f t="shared" ref="H13:H16" si="5">+$H$11/B13</f>
        <v>2.5</v>
      </c>
    </row>
    <row r="14" spans="2:9" x14ac:dyDescent="0.25">
      <c r="B14" s="75">
        <f t="shared" si="3"/>
        <v>25</v>
      </c>
      <c r="C14">
        <f>+$C$11/B14</f>
        <v>0.8</v>
      </c>
      <c r="D14">
        <f>+$D$11/B14</f>
        <v>1</v>
      </c>
      <c r="E14">
        <f>+$E$11/B14</f>
        <v>1.2</v>
      </c>
      <c r="F14">
        <f>+$F$11/B14</f>
        <v>1.4</v>
      </c>
      <c r="G14">
        <f t="shared" si="4"/>
        <v>1.6</v>
      </c>
      <c r="H14">
        <f t="shared" si="5"/>
        <v>2</v>
      </c>
    </row>
    <row r="15" spans="2:9" x14ac:dyDescent="0.25">
      <c r="B15" s="75">
        <f t="shared" si="3"/>
        <v>30</v>
      </c>
      <c r="C15">
        <f>+$C$11/B15</f>
        <v>0.66666666666666663</v>
      </c>
      <c r="D15">
        <f>+$D$11/B15</f>
        <v>0.83333333333333337</v>
      </c>
      <c r="E15">
        <f>+$E$11/B15</f>
        <v>1</v>
      </c>
      <c r="F15">
        <f>+$F$11/B15</f>
        <v>1.1666666666666667</v>
      </c>
      <c r="G15">
        <f t="shared" si="4"/>
        <v>1.3333333333333333</v>
      </c>
      <c r="H15">
        <f t="shared" si="5"/>
        <v>1.6666666666666667</v>
      </c>
    </row>
    <row r="16" spans="2:9" x14ac:dyDescent="0.25">
      <c r="B16" s="76">
        <f t="shared" si="3"/>
        <v>35</v>
      </c>
      <c r="C16" s="72">
        <f>+$C$11/B16</f>
        <v>0.5714285714285714</v>
      </c>
      <c r="D16" s="72">
        <f>+$D$11/B16</f>
        <v>0.7142857142857143</v>
      </c>
      <c r="E16" s="72">
        <f>+$E$11/B16</f>
        <v>0.8571428571428571</v>
      </c>
      <c r="F16" s="72">
        <f>+$F$11/B16</f>
        <v>1</v>
      </c>
      <c r="G16" s="72">
        <f>+$G$11/B16</f>
        <v>1.1428571428571428</v>
      </c>
      <c r="H16" s="72">
        <f t="shared" si="5"/>
        <v>1.4285714285714286</v>
      </c>
    </row>
    <row r="20" spans="2:8" x14ac:dyDescent="0.25">
      <c r="B20" s="77" t="s">
        <v>168</v>
      </c>
      <c r="C20" s="115" t="s">
        <v>169</v>
      </c>
      <c r="D20" s="115"/>
      <c r="E20" s="115"/>
      <c r="F20" s="115"/>
      <c r="G20" s="115"/>
      <c r="H20" s="74"/>
    </row>
    <row r="21" spans="2:8" x14ac:dyDescent="0.25">
      <c r="B21" s="80">
        <f>+B4-B3</f>
        <v>5</v>
      </c>
      <c r="C21" s="80">
        <f t="shared" ref="C21:H21" si="6">+C13-C12</f>
        <v>-0.33333333333333326</v>
      </c>
      <c r="D21" s="80">
        <f t="shared" si="6"/>
        <v>-0.41666666666666674</v>
      </c>
      <c r="E21" s="80">
        <f t="shared" si="6"/>
        <v>-0.5</v>
      </c>
      <c r="F21" s="80">
        <f t="shared" si="6"/>
        <v>-0.58333333333333348</v>
      </c>
      <c r="G21" s="80">
        <f t="shared" si="6"/>
        <v>-0.66666666666666652</v>
      </c>
      <c r="H21" s="82">
        <f t="shared" si="6"/>
        <v>-0.83333333333333348</v>
      </c>
    </row>
    <row r="22" spans="2:8" x14ac:dyDescent="0.25">
      <c r="B22" s="81">
        <f>+B5-B4</f>
        <v>5</v>
      </c>
      <c r="C22" s="81">
        <f t="shared" ref="C22:D24" si="7">+C14-C13</f>
        <v>-0.19999999999999996</v>
      </c>
      <c r="D22" s="81">
        <f t="shared" si="7"/>
        <v>-0.25</v>
      </c>
      <c r="E22" s="81">
        <f>+E14-E13</f>
        <v>-0.30000000000000004</v>
      </c>
      <c r="F22" s="81">
        <f t="shared" ref="F22:F24" si="8">+F14-F13</f>
        <v>-0.35000000000000009</v>
      </c>
      <c r="G22" s="81">
        <f t="shared" ref="G22:H24" si="9">+G14-G13</f>
        <v>-0.39999999999999991</v>
      </c>
      <c r="H22" s="82">
        <f t="shared" si="9"/>
        <v>-0.5</v>
      </c>
    </row>
    <row r="23" spans="2:8" x14ac:dyDescent="0.25">
      <c r="B23" s="81">
        <f>+B6-B5</f>
        <v>5</v>
      </c>
      <c r="C23" s="81">
        <f t="shared" si="7"/>
        <v>-0.13333333333333341</v>
      </c>
      <c r="D23" s="81">
        <f t="shared" si="7"/>
        <v>-0.16666666666666663</v>
      </c>
      <c r="E23" s="81">
        <f>+E15-E14</f>
        <v>-0.19999999999999996</v>
      </c>
      <c r="F23" s="81">
        <f t="shared" si="8"/>
        <v>-0.23333333333333317</v>
      </c>
      <c r="G23" s="81">
        <f t="shared" si="9"/>
        <v>-0.26666666666666683</v>
      </c>
      <c r="H23" s="82">
        <f t="shared" si="9"/>
        <v>-0.33333333333333326</v>
      </c>
    </row>
    <row r="24" spans="2:8" x14ac:dyDescent="0.25">
      <c r="B24" s="72">
        <f>+B7-B6</f>
        <v>5</v>
      </c>
      <c r="C24" s="72">
        <f t="shared" si="7"/>
        <v>-9.5238095238095233E-2</v>
      </c>
      <c r="D24" s="72">
        <f t="shared" si="7"/>
        <v>-0.11904761904761907</v>
      </c>
      <c r="E24" s="72">
        <f>+E16-E15</f>
        <v>-0.1428571428571429</v>
      </c>
      <c r="F24" s="72">
        <f t="shared" si="8"/>
        <v>-0.16666666666666674</v>
      </c>
      <c r="G24" s="72">
        <f t="shared" si="9"/>
        <v>-0.19047619047619047</v>
      </c>
      <c r="H24" s="83">
        <f>+H16-H15</f>
        <v>-0.23809523809523814</v>
      </c>
    </row>
    <row r="27" spans="2:8" x14ac:dyDescent="0.25">
      <c r="C27" s="107" t="s">
        <v>170</v>
      </c>
      <c r="D27" s="107"/>
      <c r="E27" s="107"/>
      <c r="F27" s="107"/>
      <c r="G27" s="107"/>
    </row>
    <row r="28" spans="2:8" x14ac:dyDescent="0.25">
      <c r="C28" s="80">
        <f>+$B$21/C21*(C12/$B$12)</f>
        <v>-1.3333333333333335</v>
      </c>
      <c r="D28" s="80">
        <f>+$B$21/D21*(D12/$B$12)</f>
        <v>-1.3333333333333333</v>
      </c>
      <c r="E28" s="80">
        <f>+$B$21/E21*(E12/$B$12)</f>
        <v>-1.3333333333333333</v>
      </c>
      <c r="F28" s="80">
        <f t="shared" ref="F28:G28" si="10">+$B$21/F21*(F12/$B$12)</f>
        <v>-1.333333333333333</v>
      </c>
      <c r="G28" s="80">
        <f t="shared" si="10"/>
        <v>-1.3333333333333335</v>
      </c>
      <c r="H28" s="80">
        <f>+B21/H21*(H12/B12)</f>
        <v>-1.3333333333333333</v>
      </c>
    </row>
    <row r="29" spans="2:8" x14ac:dyDescent="0.25">
      <c r="C29" s="81">
        <f>+$B$22/C22*(C13/$B$13)</f>
        <v>-1.2500000000000004</v>
      </c>
      <c r="D29" s="81">
        <f>+$B$22/D22*(D13/$B$13)</f>
        <v>-1.25</v>
      </c>
      <c r="E29" s="81">
        <f>+$B$22/E22*(E13/$B$13)</f>
        <v>-1.2499999999999998</v>
      </c>
      <c r="F29" s="81">
        <f>+$B$22/F22*(F13/$B$13)</f>
        <v>-1.2499999999999998</v>
      </c>
      <c r="G29" s="81">
        <f>+$B$22/G22*(G13/$B$13)</f>
        <v>-1.2500000000000004</v>
      </c>
      <c r="H29" s="81">
        <f t="shared" ref="H29:H31" si="11">+B22/H22*(H13/B13)</f>
        <v>-1.25</v>
      </c>
    </row>
    <row r="30" spans="2:8" x14ac:dyDescent="0.25">
      <c r="C30" s="81">
        <f>+$B$23/C23*(C14/$B$14)</f>
        <v>-1.1999999999999993</v>
      </c>
      <c r="D30" s="81">
        <f>+$B$23/D23*(D14/$B$14)</f>
        <v>-1.2000000000000004</v>
      </c>
      <c r="E30" s="81">
        <f>+$B$23/E23*(E14/$B$14)</f>
        <v>-1.2000000000000004</v>
      </c>
      <c r="F30" s="81">
        <f>+$B$23/F23*(F14/$B$14)</f>
        <v>-1.2000000000000008</v>
      </c>
      <c r="G30" s="81">
        <f>+$B$23/G23*(G14/$B$14)</f>
        <v>-1.1999999999999993</v>
      </c>
      <c r="H30" s="81">
        <f t="shared" si="11"/>
        <v>-1.2000000000000004</v>
      </c>
    </row>
    <row r="31" spans="2:8" x14ac:dyDescent="0.25">
      <c r="C31" s="72">
        <f>+$B$24/C24*(C15/$B$15)</f>
        <v>-1.1666666666666665</v>
      </c>
      <c r="D31" s="72">
        <f>+$B$24/D24*(D15/$B$15)</f>
        <v>-1.1666666666666665</v>
      </c>
      <c r="E31" s="72">
        <f>+$B$24/E24*(E15/$B$15)</f>
        <v>-1.1666666666666661</v>
      </c>
      <c r="F31" s="72">
        <f>+$B$24/F24*(F15/$B$15)</f>
        <v>-1.1666666666666661</v>
      </c>
      <c r="G31" s="72">
        <f>+$B$24/G24*(G15/$B$15)</f>
        <v>-1.1666666666666665</v>
      </c>
      <c r="H31" s="72">
        <f t="shared" si="11"/>
        <v>-1.1666666666666665</v>
      </c>
    </row>
    <row r="34" spans="2:8" x14ac:dyDescent="0.25">
      <c r="B34" t="s">
        <v>171</v>
      </c>
    </row>
    <row r="35" spans="2:8" x14ac:dyDescent="0.25">
      <c r="C35" s="107" t="s">
        <v>166</v>
      </c>
      <c r="D35" s="107"/>
      <c r="E35" s="107"/>
      <c r="F35" s="107"/>
      <c r="G35" s="107"/>
      <c r="H35" s="107"/>
    </row>
    <row r="36" spans="2:8" x14ac:dyDescent="0.25">
      <c r="B36" s="74" t="s">
        <v>165</v>
      </c>
      <c r="C36" s="74">
        <v>20</v>
      </c>
      <c r="D36" s="74">
        <v>25</v>
      </c>
      <c r="E36" s="74">
        <v>30</v>
      </c>
      <c r="F36" s="74">
        <v>35</v>
      </c>
      <c r="G36" s="74">
        <v>40</v>
      </c>
      <c r="H36" s="74">
        <v>50</v>
      </c>
    </row>
    <row r="37" spans="2:8" x14ac:dyDescent="0.25">
      <c r="B37">
        <f>+B3</f>
        <v>15</v>
      </c>
      <c r="C37">
        <f>+C3/$C$8</f>
        <v>0.3235294117647059</v>
      </c>
      <c r="D37">
        <f>+D3/$D$8</f>
        <v>0.21875</v>
      </c>
      <c r="E37">
        <f>+E3/$E$8</f>
        <v>0.18181818181818182</v>
      </c>
      <c r="F37">
        <f>+IF($F$8=0,0,F3/$F$8)</f>
        <v>0</v>
      </c>
      <c r="G37">
        <f>IF($G$8=0,0,G3/$G$8)</f>
        <v>0</v>
      </c>
      <c r="H37">
        <f>IF($H$8=0,0,H3/$H$8)</f>
        <v>0</v>
      </c>
    </row>
    <row r="38" spans="2:8" x14ac:dyDescent="0.25">
      <c r="B38">
        <f t="shared" ref="B38:B40" si="12">+B4</f>
        <v>20</v>
      </c>
      <c r="C38">
        <f t="shared" ref="C38:C40" si="13">+C4/$C$8</f>
        <v>0.26470588235294118</v>
      </c>
      <c r="D38">
        <f t="shared" ref="D38:D40" si="14">+D4/$D$8</f>
        <v>0.25</v>
      </c>
      <c r="E38">
        <f t="shared" ref="E38:E40" si="15">+E4/$E$8</f>
        <v>0.31818181818181818</v>
      </c>
      <c r="F38">
        <f t="shared" ref="F38:F40" si="16">+IF($F$8=0,0,F4/$F$8)</f>
        <v>0</v>
      </c>
      <c r="G38">
        <f t="shared" ref="G38:G40" si="17">IF($G$8=0,0,G4/$G$8)</f>
        <v>0</v>
      </c>
      <c r="H38">
        <f t="shared" ref="H38:H41" si="18">IF($H$8=0,0,H4/$H$8)</f>
        <v>0</v>
      </c>
    </row>
    <row r="39" spans="2:8" x14ac:dyDescent="0.25">
      <c r="B39">
        <f t="shared" si="12"/>
        <v>25</v>
      </c>
      <c r="C39">
        <f t="shared" si="13"/>
        <v>0.23529411764705882</v>
      </c>
      <c r="D39">
        <f t="shared" si="14"/>
        <v>0.28125</v>
      </c>
      <c r="E39">
        <f t="shared" si="15"/>
        <v>0.18181818181818182</v>
      </c>
      <c r="F39">
        <f t="shared" si="16"/>
        <v>0</v>
      </c>
      <c r="G39">
        <f t="shared" si="17"/>
        <v>0</v>
      </c>
      <c r="H39">
        <f t="shared" si="18"/>
        <v>0</v>
      </c>
    </row>
    <row r="40" spans="2:8" x14ac:dyDescent="0.25">
      <c r="B40" s="72">
        <f t="shared" si="12"/>
        <v>30</v>
      </c>
      <c r="C40" s="72">
        <f t="shared" si="13"/>
        <v>0.17647058823529413</v>
      </c>
      <c r="D40" s="72">
        <f t="shared" si="14"/>
        <v>0.25</v>
      </c>
      <c r="E40" s="72">
        <f t="shared" si="15"/>
        <v>0.31818181818181818</v>
      </c>
      <c r="F40" s="72">
        <f t="shared" si="16"/>
        <v>0</v>
      </c>
      <c r="G40" s="72">
        <f t="shared" si="17"/>
        <v>0</v>
      </c>
      <c r="H40" s="72">
        <f t="shared" si="18"/>
        <v>0</v>
      </c>
    </row>
    <row r="41" spans="2:8" x14ac:dyDescent="0.25">
      <c r="C41">
        <f>SUM(C37:C40)</f>
        <v>1</v>
      </c>
      <c r="D41">
        <f>SUM(D37:D40)</f>
        <v>1</v>
      </c>
      <c r="E41">
        <f>SUM(E37:E40)</f>
        <v>1</v>
      </c>
      <c r="F41">
        <f>SUM(F37:F40)</f>
        <v>0</v>
      </c>
      <c r="G41">
        <f>SUM(G37:G40)</f>
        <v>0</v>
      </c>
      <c r="H41">
        <f t="shared" si="18"/>
        <v>0</v>
      </c>
    </row>
    <row r="43" spans="2:8" x14ac:dyDescent="0.25">
      <c r="B43" t="s">
        <v>174</v>
      </c>
    </row>
    <row r="44" spans="2:8" x14ac:dyDescent="0.25">
      <c r="C44" s="80">
        <f>+C28*C37</f>
        <v>-0.43137254901960792</v>
      </c>
      <c r="D44" s="80">
        <f t="shared" ref="D44:H44" si="19">+D28*D37</f>
        <v>-0.29166666666666663</v>
      </c>
      <c r="E44" s="80">
        <f t="shared" si="19"/>
        <v>-0.24242424242424243</v>
      </c>
      <c r="F44" s="80">
        <f t="shared" si="19"/>
        <v>0</v>
      </c>
      <c r="G44" s="80">
        <f t="shared" si="19"/>
        <v>0</v>
      </c>
      <c r="H44" s="80">
        <f t="shared" si="19"/>
        <v>0</v>
      </c>
    </row>
    <row r="45" spans="2:8" x14ac:dyDescent="0.25">
      <c r="C45">
        <f>+C29*C38</f>
        <v>-0.33088235294117657</v>
      </c>
      <c r="D45">
        <f t="shared" ref="D45:H45" si="20">+D29*D38</f>
        <v>-0.3125</v>
      </c>
      <c r="E45">
        <f t="shared" si="20"/>
        <v>-0.39772727272727265</v>
      </c>
      <c r="F45">
        <f t="shared" si="20"/>
        <v>0</v>
      </c>
      <c r="G45">
        <f t="shared" si="20"/>
        <v>0</v>
      </c>
      <c r="H45">
        <f t="shared" si="20"/>
        <v>0</v>
      </c>
    </row>
    <row r="46" spans="2:8" x14ac:dyDescent="0.25">
      <c r="C46">
        <f>+C30*C39</f>
        <v>-0.28235294117647042</v>
      </c>
      <c r="D46">
        <f t="shared" ref="D46:H46" si="21">+D30*D39</f>
        <v>-0.33750000000000013</v>
      </c>
      <c r="E46">
        <f t="shared" si="21"/>
        <v>-0.21818181818181825</v>
      </c>
      <c r="F46">
        <f t="shared" si="21"/>
        <v>0</v>
      </c>
      <c r="G46">
        <f t="shared" si="21"/>
        <v>0</v>
      </c>
      <c r="H46">
        <f t="shared" si="21"/>
        <v>0</v>
      </c>
    </row>
    <row r="47" spans="2:8" x14ac:dyDescent="0.25">
      <c r="C47" s="72">
        <f>+C31*C40</f>
        <v>-0.20588235294117646</v>
      </c>
      <c r="D47" s="72">
        <f t="shared" ref="D47:G47" si="22">+D31*D40</f>
        <v>-0.29166666666666663</v>
      </c>
      <c r="E47" s="72">
        <f t="shared" si="22"/>
        <v>-0.37121212121212099</v>
      </c>
      <c r="F47" s="72">
        <f t="shared" si="22"/>
        <v>0</v>
      </c>
      <c r="G47" s="72">
        <f t="shared" si="22"/>
        <v>0</v>
      </c>
      <c r="H47" s="72">
        <f>+H31*H40</f>
        <v>0</v>
      </c>
    </row>
    <row r="48" spans="2:8" ht="30" x14ac:dyDescent="0.25">
      <c r="B48" s="86" t="s">
        <v>175</v>
      </c>
      <c r="C48">
        <f>SUM(C44:C47)</f>
        <v>-1.2504901960784314</v>
      </c>
      <c r="D48">
        <f t="shared" ref="D48:H48" si="23">SUM(D44:D47)</f>
        <v>-1.2333333333333334</v>
      </c>
      <c r="E48">
        <f t="shared" si="23"/>
        <v>-1.2295454545454545</v>
      </c>
      <c r="F48">
        <f t="shared" si="23"/>
        <v>0</v>
      </c>
      <c r="G48">
        <f t="shared" si="23"/>
        <v>0</v>
      </c>
      <c r="H48">
        <f t="shared" si="23"/>
        <v>0</v>
      </c>
    </row>
    <row r="49" spans="2:8" x14ac:dyDescent="0.25">
      <c r="B49" t="s">
        <v>176</v>
      </c>
      <c r="C49" s="73">
        <f>+C8/$I$8</f>
        <v>0.38636363636363635</v>
      </c>
      <c r="D49" s="73">
        <f t="shared" ref="D49:G49" si="24">+D8/$I$8</f>
        <v>0.36363636363636365</v>
      </c>
      <c r="E49" s="73">
        <f t="shared" si="24"/>
        <v>0.25</v>
      </c>
      <c r="F49" s="73">
        <f t="shared" si="24"/>
        <v>0</v>
      </c>
      <c r="G49" s="73">
        <f t="shared" si="24"/>
        <v>0</v>
      </c>
      <c r="H49" s="73">
        <f>+H8/$I$8</f>
        <v>0</v>
      </c>
    </row>
    <row r="51" spans="2:8" x14ac:dyDescent="0.25">
      <c r="B51" t="s">
        <v>177</v>
      </c>
      <c r="D51">
        <f>+SUMPRODUCT(C48:H48,C49:H49)</f>
        <v>-1.2390151515151515</v>
      </c>
    </row>
  </sheetData>
  <mergeCells count="5">
    <mergeCell ref="C1:H1"/>
    <mergeCell ref="C10:G10"/>
    <mergeCell ref="C20:G20"/>
    <mergeCell ref="C27:G27"/>
    <mergeCell ref="C35:H3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"/>
  <sheetViews>
    <sheetView zoomScale="150" zoomScaleNormal="150" workbookViewId="0">
      <selection activeCell="B11" sqref="B11"/>
    </sheetView>
  </sheetViews>
  <sheetFormatPr baseColWidth="10" defaultRowHeight="15" x14ac:dyDescent="0.25"/>
  <cols>
    <col min="2" max="2" width="17.5703125" customWidth="1"/>
  </cols>
  <sheetData>
    <row r="1" spans="2:5" ht="17.25" x14ac:dyDescent="0.25">
      <c r="C1" s="14" t="s">
        <v>179</v>
      </c>
      <c r="D1" s="14" t="s">
        <v>197</v>
      </c>
      <c r="E1" s="14" t="s">
        <v>198</v>
      </c>
    </row>
    <row r="2" spans="2:5" x14ac:dyDescent="0.25">
      <c r="B2" t="s">
        <v>178</v>
      </c>
      <c r="C2" s="15">
        <v>10</v>
      </c>
      <c r="D2" s="15">
        <v>7</v>
      </c>
      <c r="E2" s="15">
        <f>+C2*D2</f>
        <v>70</v>
      </c>
    </row>
    <row r="3" spans="2:5" x14ac:dyDescent="0.25">
      <c r="B3" t="s">
        <v>180</v>
      </c>
      <c r="C3" s="84">
        <f>30*55*3.78/1000</f>
        <v>6.2370000000000001</v>
      </c>
      <c r="D3" s="15">
        <f>30/(55*3.78/1000)</f>
        <v>144.30014430014432</v>
      </c>
      <c r="E3" s="84">
        <f>+D3*C3</f>
        <v>900.00000000000011</v>
      </c>
    </row>
    <row r="4" spans="2:5" x14ac:dyDescent="0.25">
      <c r="C4" s="15">
        <f>SUM(C2:C3)</f>
        <v>16.237000000000002</v>
      </c>
      <c r="E4" s="15">
        <f>SUM(E2:E3)</f>
        <v>970.00000000000011</v>
      </c>
    </row>
    <row r="6" spans="2:5" ht="17.25" x14ac:dyDescent="0.25">
      <c r="B6" t="s">
        <v>196</v>
      </c>
      <c r="C6" s="15">
        <f>+E4/C4</f>
        <v>59.74009977212539</v>
      </c>
      <c r="D6" t="s">
        <v>197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showGridLines="0" zoomScale="110" zoomScaleNormal="110" workbookViewId="0">
      <selection activeCell="B28" sqref="B28"/>
    </sheetView>
  </sheetViews>
  <sheetFormatPr baseColWidth="10" defaultRowHeight="15" x14ac:dyDescent="0.25"/>
  <cols>
    <col min="2" max="2" width="12.28515625" customWidth="1"/>
    <col min="3" max="3" width="47" customWidth="1"/>
    <col min="4" max="4" width="19.28515625" customWidth="1"/>
    <col min="5" max="5" width="21.28515625" customWidth="1"/>
    <col min="6" max="6" width="15.85546875" customWidth="1"/>
    <col min="7" max="7" width="2" customWidth="1"/>
    <col min="8" max="8" width="2.85546875" style="3" customWidth="1"/>
    <col min="9" max="9" width="1.7109375" customWidth="1"/>
    <col min="11" max="11" width="25.42578125" customWidth="1"/>
    <col min="12" max="12" width="14.42578125" customWidth="1"/>
    <col min="13" max="13" width="17" customWidth="1"/>
    <col min="14" max="14" width="19.5703125" customWidth="1"/>
    <col min="15" max="15" width="16.140625" customWidth="1"/>
    <col min="16" max="16" width="17.28515625" customWidth="1"/>
    <col min="17" max="17" width="16.140625" customWidth="1"/>
    <col min="18" max="18" width="17.85546875" customWidth="1"/>
    <col min="19" max="19" width="15.42578125" customWidth="1"/>
    <col min="20" max="20" width="16.42578125" customWidth="1"/>
    <col min="21" max="21" width="15.85546875" customWidth="1"/>
    <col min="22" max="22" width="17.140625" customWidth="1"/>
  </cols>
  <sheetData>
    <row r="1" spans="1:6" ht="18.75" x14ac:dyDescent="0.3">
      <c r="B1" s="1" t="s">
        <v>98</v>
      </c>
    </row>
    <row r="2" spans="1:6" x14ac:dyDescent="0.25">
      <c r="A2" s="2"/>
      <c r="B2" s="2" t="s">
        <v>6</v>
      </c>
      <c r="C2" s="2" t="s">
        <v>0</v>
      </c>
      <c r="D2" s="6">
        <v>1500</v>
      </c>
      <c r="E2" s="2"/>
      <c r="F2" s="2"/>
    </row>
    <row r="3" spans="1:6" x14ac:dyDescent="0.25">
      <c r="A3" s="2"/>
      <c r="B3" s="2"/>
      <c r="C3" s="2" t="s">
        <v>97</v>
      </c>
      <c r="D3" s="6">
        <v>5</v>
      </c>
      <c r="E3" s="2"/>
      <c r="F3" s="2"/>
    </row>
    <row r="4" spans="1:6" x14ac:dyDescent="0.25">
      <c r="A4" s="2"/>
      <c r="B4" s="2" t="s">
        <v>7</v>
      </c>
      <c r="C4" s="2" t="s">
        <v>1</v>
      </c>
      <c r="D4" s="7">
        <v>3119.1</v>
      </c>
      <c r="E4" s="2" t="s">
        <v>2</v>
      </c>
      <c r="F4" s="2"/>
    </row>
    <row r="5" spans="1:6" x14ac:dyDescent="0.25">
      <c r="A5" s="2"/>
      <c r="B5" s="2" t="s">
        <v>8</v>
      </c>
      <c r="C5" s="2" t="s">
        <v>3</v>
      </c>
      <c r="D5" s="2">
        <f>8*22</f>
        <v>176</v>
      </c>
      <c r="E5" s="2"/>
      <c r="F5" s="2"/>
    </row>
    <row r="6" spans="1:6" x14ac:dyDescent="0.25">
      <c r="A6" s="2"/>
      <c r="B6" s="2" t="s">
        <v>9</v>
      </c>
      <c r="C6" s="2" t="s">
        <v>4</v>
      </c>
      <c r="D6" s="4">
        <f>D4/D5</f>
        <v>17.722159090909091</v>
      </c>
      <c r="E6" s="2"/>
      <c r="F6" s="2"/>
    </row>
    <row r="7" spans="1:6" x14ac:dyDescent="0.25">
      <c r="A7" s="2"/>
      <c r="B7" s="2"/>
      <c r="C7" s="2"/>
      <c r="D7" s="2"/>
      <c r="E7" s="2"/>
      <c r="F7" s="2"/>
    </row>
    <row r="8" spans="1:6" x14ac:dyDescent="0.25">
      <c r="A8" s="2"/>
      <c r="B8" s="2" t="s">
        <v>10</v>
      </c>
      <c r="C8" s="2" t="s">
        <v>5</v>
      </c>
      <c r="D8" s="6">
        <v>5</v>
      </c>
      <c r="E8" s="2"/>
      <c r="F8" s="2"/>
    </row>
    <row r="9" spans="1:6" x14ac:dyDescent="0.25">
      <c r="A9" s="2"/>
      <c r="B9" s="2" t="s">
        <v>11</v>
      </c>
      <c r="C9" s="2" t="s">
        <v>72</v>
      </c>
      <c r="D9" s="2">
        <f>D8*30</f>
        <v>150</v>
      </c>
      <c r="E9" s="2"/>
      <c r="F9" s="2"/>
    </row>
    <row r="10" spans="1:6" x14ac:dyDescent="0.25">
      <c r="A10" s="2"/>
      <c r="B10" s="2"/>
      <c r="C10" s="2"/>
      <c r="D10" s="2"/>
      <c r="E10" s="2"/>
      <c r="F10" s="2"/>
    </row>
    <row r="11" spans="1:6" x14ac:dyDescent="0.25">
      <c r="A11" s="24"/>
      <c r="B11" s="111" t="s">
        <v>201</v>
      </c>
      <c r="C11" s="111"/>
      <c r="D11" s="111"/>
      <c r="E11" s="111"/>
      <c r="F11" s="111"/>
    </row>
    <row r="12" spans="1:6" x14ac:dyDescent="0.25">
      <c r="A12" s="24"/>
      <c r="B12" s="111"/>
      <c r="C12" s="111"/>
      <c r="D12" s="111"/>
      <c r="E12" s="111"/>
      <c r="F12" s="111"/>
    </row>
    <row r="13" spans="1:6" x14ac:dyDescent="0.25">
      <c r="A13" s="24"/>
      <c r="B13" s="111"/>
      <c r="C13" s="111"/>
      <c r="D13" s="111"/>
      <c r="E13" s="111"/>
      <c r="F13" s="111"/>
    </row>
    <row r="14" spans="1:6" x14ac:dyDescent="0.25">
      <c r="A14" s="24"/>
      <c r="B14" s="111"/>
      <c r="C14" s="111"/>
      <c r="D14" s="111"/>
      <c r="E14" s="111"/>
      <c r="F14" s="111"/>
    </row>
    <row r="15" spans="1:6" x14ac:dyDescent="0.25">
      <c r="A15" s="2"/>
      <c r="B15" s="2" t="s">
        <v>202</v>
      </c>
      <c r="C15" s="2"/>
      <c r="D15" s="53">
        <v>3250</v>
      </c>
      <c r="E15" s="2"/>
      <c r="F15" s="2"/>
    </row>
    <row r="16" spans="1:6" x14ac:dyDescent="0.25">
      <c r="A16" s="2"/>
      <c r="B16" s="2" t="s">
        <v>203</v>
      </c>
      <c r="C16" s="2"/>
      <c r="D16" s="2">
        <f>D15/(D2*D3)</f>
        <v>0.43333333333333335</v>
      </c>
      <c r="E16" s="2"/>
      <c r="F16" s="2"/>
    </row>
    <row r="17" spans="1:6" x14ac:dyDescent="0.25">
      <c r="A17" s="2"/>
      <c r="B17" s="2" t="s">
        <v>204</v>
      </c>
      <c r="C17" s="2"/>
      <c r="D17" s="8">
        <v>355000</v>
      </c>
      <c r="E17" s="2"/>
      <c r="F17" s="2"/>
    </row>
    <row r="18" spans="1:6" x14ac:dyDescent="0.25">
      <c r="A18" s="2"/>
      <c r="B18" s="2"/>
      <c r="C18" s="2"/>
      <c r="D18" s="2"/>
      <c r="E18" s="2"/>
      <c r="F18" s="2"/>
    </row>
    <row r="19" spans="1:6" x14ac:dyDescent="0.25">
      <c r="A19" s="2"/>
      <c r="B19" s="2" t="s">
        <v>205</v>
      </c>
      <c r="C19" s="2"/>
      <c r="D19" s="6">
        <v>1.5</v>
      </c>
      <c r="E19" s="2"/>
      <c r="F19" s="2"/>
    </row>
    <row r="20" spans="1:6" x14ac:dyDescent="0.25">
      <c r="A20" s="2"/>
      <c r="B20" s="2"/>
      <c r="C20" s="2"/>
      <c r="D20" s="2"/>
      <c r="E20" s="2"/>
      <c r="F20" s="2"/>
    </row>
    <row r="21" spans="1:6" x14ac:dyDescent="0.25">
      <c r="A21" s="2"/>
      <c r="B21" s="2" t="s">
        <v>149</v>
      </c>
      <c r="C21" s="2"/>
      <c r="D21" s="17">
        <f>ABS((D19-D16))/D16*D17</f>
        <v>873846.15384615376</v>
      </c>
      <c r="E21" s="2"/>
      <c r="F21" s="2"/>
    </row>
  </sheetData>
  <mergeCells count="1">
    <mergeCell ref="B11:F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1"/>
  <sheetViews>
    <sheetView showGridLines="0" topLeftCell="C1" zoomScale="130" zoomScaleNormal="130" workbookViewId="0">
      <selection activeCell="D17" sqref="D17"/>
    </sheetView>
  </sheetViews>
  <sheetFormatPr baseColWidth="10" defaultRowHeight="15" x14ac:dyDescent="0.25"/>
  <cols>
    <col min="1" max="1" width="1.42578125" customWidth="1"/>
    <col min="4" max="4" width="44.85546875" customWidth="1"/>
    <col min="5" max="5" width="12" bestFit="1" customWidth="1"/>
    <col min="7" max="7" width="5.7109375" customWidth="1"/>
    <col min="8" max="8" width="1.85546875" style="25" customWidth="1"/>
  </cols>
  <sheetData>
    <row r="2" spans="2:7" ht="18.75" x14ac:dyDescent="0.3">
      <c r="B2" s="24"/>
      <c r="C2" s="26" t="s">
        <v>112</v>
      </c>
      <c r="D2" s="24"/>
      <c r="E2" s="24"/>
      <c r="F2" s="24"/>
      <c r="G2" s="24"/>
    </row>
    <row r="3" spans="2:7" x14ac:dyDescent="0.25">
      <c r="B3" s="2"/>
      <c r="C3" s="2" t="s">
        <v>12</v>
      </c>
      <c r="D3" s="2" t="s">
        <v>17</v>
      </c>
      <c r="E3" s="6">
        <v>140</v>
      </c>
      <c r="F3" s="2"/>
      <c r="G3" s="2"/>
    </row>
    <row r="4" spans="2:7" x14ac:dyDescent="0.25">
      <c r="B4" s="2"/>
      <c r="C4" s="2" t="s">
        <v>13</v>
      </c>
      <c r="D4" s="5" t="s">
        <v>18</v>
      </c>
      <c r="E4" s="5">
        <f>E3*30</f>
        <v>4200</v>
      </c>
      <c r="F4" s="2" t="s">
        <v>20</v>
      </c>
      <c r="G4" s="2"/>
    </row>
    <row r="5" spans="2:7" x14ac:dyDescent="0.25">
      <c r="B5" s="2"/>
      <c r="C5" s="2"/>
      <c r="D5" s="2"/>
      <c r="E5" s="2"/>
      <c r="F5" s="2"/>
      <c r="G5" s="2"/>
    </row>
    <row r="6" spans="2:7" x14ac:dyDescent="0.25">
      <c r="B6" s="2"/>
      <c r="C6" s="2" t="s">
        <v>14</v>
      </c>
      <c r="D6" s="2" t="s">
        <v>19</v>
      </c>
      <c r="E6" s="4">
        <f>Base!D6*Base!D9</f>
        <v>2658.3238636363635</v>
      </c>
      <c r="F6" s="2"/>
      <c r="G6" s="2"/>
    </row>
    <row r="7" spans="2:7" x14ac:dyDescent="0.25">
      <c r="B7" s="2"/>
      <c r="C7" s="2"/>
      <c r="D7" s="2"/>
      <c r="E7" s="2"/>
      <c r="F7" s="2"/>
      <c r="G7" s="2"/>
    </row>
    <row r="8" spans="2:7" x14ac:dyDescent="0.25">
      <c r="B8" s="2"/>
      <c r="C8" s="2" t="s">
        <v>16</v>
      </c>
      <c r="D8" s="2" t="s">
        <v>15</v>
      </c>
      <c r="E8" s="4">
        <f>E6/E4</f>
        <v>0.63293425324675323</v>
      </c>
      <c r="F8" s="2" t="s">
        <v>21</v>
      </c>
      <c r="G8" s="2"/>
    </row>
    <row r="9" spans="2:7" ht="17.25" x14ac:dyDescent="0.25">
      <c r="B9" s="2"/>
      <c r="C9" s="2"/>
      <c r="D9" s="27" t="s">
        <v>99</v>
      </c>
      <c r="E9" s="22">
        <f>E8/1000</f>
        <v>6.3293425324675325E-4</v>
      </c>
      <c r="F9" s="2"/>
      <c r="G9" s="2"/>
    </row>
    <row r="10" spans="2:7" x14ac:dyDescent="0.25">
      <c r="B10" s="2"/>
      <c r="C10" s="2"/>
      <c r="D10" s="2"/>
      <c r="E10" s="2"/>
      <c r="F10" s="2"/>
      <c r="G10" s="2"/>
    </row>
    <row r="11" spans="2:7" x14ac:dyDescent="0.25">
      <c r="B11" s="2"/>
      <c r="C11" s="2"/>
      <c r="D11" s="2"/>
      <c r="E11" s="2"/>
      <c r="F11" s="2"/>
      <c r="G11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6"/>
  <sheetViews>
    <sheetView showGridLines="0" zoomScaleNormal="100" workbookViewId="0">
      <selection activeCell="K7" sqref="K7"/>
    </sheetView>
  </sheetViews>
  <sheetFormatPr baseColWidth="10" defaultRowHeight="15" x14ac:dyDescent="0.25"/>
  <cols>
    <col min="1" max="1" width="2.5703125" customWidth="1"/>
    <col min="4" max="4" width="31.42578125" customWidth="1"/>
    <col min="5" max="5" width="25" customWidth="1"/>
    <col min="6" max="6" width="21.28515625" customWidth="1"/>
    <col min="7" max="7" width="25.42578125" customWidth="1"/>
    <col min="8" max="8" width="2.5703125" style="25" customWidth="1"/>
    <col min="11" max="11" width="12.42578125" customWidth="1"/>
    <col min="12" max="12" width="12.5703125" bestFit="1" customWidth="1"/>
    <col min="14" max="14" width="14.28515625" customWidth="1"/>
    <col min="15" max="15" width="3.28515625" customWidth="1"/>
    <col min="16" max="16" width="2.85546875" style="25" customWidth="1"/>
  </cols>
  <sheetData>
    <row r="2" spans="2:15" ht="18.75" x14ac:dyDescent="0.3">
      <c r="C2" s="1" t="s">
        <v>35</v>
      </c>
    </row>
    <row r="3" spans="2:15" x14ac:dyDescent="0.25">
      <c r="B3" s="2"/>
      <c r="C3" s="112" t="s">
        <v>163</v>
      </c>
      <c r="D3" s="112"/>
      <c r="E3" s="112"/>
      <c r="F3" s="112"/>
      <c r="G3" s="112"/>
      <c r="I3" s="2"/>
      <c r="J3" s="5" t="s">
        <v>122</v>
      </c>
      <c r="K3" s="2"/>
      <c r="L3" s="2"/>
      <c r="M3" s="2"/>
      <c r="N3" s="2"/>
      <c r="O3" s="2"/>
    </row>
    <row r="4" spans="2:15" x14ac:dyDescent="0.25">
      <c r="B4" s="2"/>
      <c r="C4" s="112"/>
      <c r="D4" s="112"/>
      <c r="E4" s="112"/>
      <c r="F4" s="112"/>
      <c r="G4" s="112"/>
      <c r="I4" s="2"/>
      <c r="J4" s="2"/>
      <c r="K4" s="2"/>
      <c r="L4" s="2"/>
      <c r="M4" s="2"/>
      <c r="N4" s="2"/>
      <c r="O4" s="2"/>
    </row>
    <row r="5" spans="2:15" x14ac:dyDescent="0.25">
      <c r="B5" s="2"/>
      <c r="C5" s="21"/>
      <c r="D5" s="21"/>
      <c r="E5" s="21"/>
      <c r="F5" s="21"/>
      <c r="G5" s="21"/>
      <c r="I5" s="2"/>
      <c r="J5" s="13" t="s">
        <v>117</v>
      </c>
      <c r="K5" s="13" t="s">
        <v>120</v>
      </c>
      <c r="L5" s="13" t="s">
        <v>121</v>
      </c>
      <c r="M5" s="13" t="s">
        <v>119</v>
      </c>
      <c r="N5" s="13" t="s">
        <v>118</v>
      </c>
      <c r="O5" s="2"/>
    </row>
    <row r="6" spans="2:15" x14ac:dyDescent="0.25">
      <c r="B6" s="2"/>
      <c r="C6" s="2"/>
      <c r="D6" s="13" t="s">
        <v>103</v>
      </c>
      <c r="E6" s="13" t="s">
        <v>26</v>
      </c>
      <c r="F6" s="13" t="s">
        <v>96</v>
      </c>
      <c r="G6" s="13" t="s">
        <v>27</v>
      </c>
      <c r="I6" s="2"/>
      <c r="J6" s="10">
        <v>0</v>
      </c>
      <c r="K6" s="2"/>
      <c r="L6" s="2"/>
      <c r="M6" s="2"/>
      <c r="N6" s="17">
        <f>$E$27*($E$11+$E$18)</f>
        <v>2142500</v>
      </c>
      <c r="O6" s="2"/>
    </row>
    <row r="7" spans="2:15" x14ac:dyDescent="0.25">
      <c r="B7" s="2"/>
      <c r="C7" s="2"/>
      <c r="D7" s="2" t="s">
        <v>36</v>
      </c>
      <c r="E7" s="8">
        <v>1000000</v>
      </c>
      <c r="F7" s="10">
        <v>1.0149999999999999</v>
      </c>
      <c r="G7" s="17">
        <f>F7*E7</f>
        <v>1014999.9999999999</v>
      </c>
      <c r="I7" s="2"/>
      <c r="J7" s="10">
        <f>IF(J6&lt;&gt;"",IF(J6+1&lt;=$E$28,J6+1,""),"")</f>
        <v>1</v>
      </c>
      <c r="K7" s="11">
        <f>IF(J7&lt;&gt;"",PMT($E$29,$E$28,-$N$6),"")</f>
        <v>372826.62456797896</v>
      </c>
      <c r="L7" s="17">
        <f>IF(K7&lt;&gt;"",K7-M7,"")</f>
        <v>201426.62456797896</v>
      </c>
      <c r="M7" s="17">
        <f>IF(K7&lt;&gt;"",N6*$E$29,"")</f>
        <v>171400</v>
      </c>
      <c r="N7" s="17">
        <f>IF(K7&lt;&gt;"",N6-L7,"")</f>
        <v>1941073.375432021</v>
      </c>
      <c r="O7" s="2"/>
    </row>
    <row r="8" spans="2:15" x14ac:dyDescent="0.25">
      <c r="B8" s="2"/>
      <c r="C8" s="2"/>
      <c r="D8" s="2" t="s">
        <v>37</v>
      </c>
      <c r="E8" s="8">
        <v>2000000</v>
      </c>
      <c r="F8" s="10">
        <v>1.0149999999999999</v>
      </c>
      <c r="G8" s="17">
        <f>F8*E8</f>
        <v>2029999.9999999998</v>
      </c>
      <c r="I8" s="2"/>
      <c r="J8" s="10">
        <f t="shared" ref="J8:J16" si="0">IF(J7&lt;&gt;"",IF(J7+1&lt;=$E$28,J7+1,""),"")</f>
        <v>2</v>
      </c>
      <c r="K8" s="11">
        <f t="shared" ref="K8:K16" si="1">IF(J8&lt;&gt;"",PMT($E$29,$E$28,-$N$6),"")</f>
        <v>372826.62456797896</v>
      </c>
      <c r="L8" s="17">
        <f t="shared" ref="L8:L16" si="2">IF(K8&lt;&gt;"",K8-M8,"")</f>
        <v>217540.75453341726</v>
      </c>
      <c r="M8" s="17">
        <f t="shared" ref="M8:M16" si="3">IF(K8&lt;&gt;"",N7*$E$29,"")</f>
        <v>155285.8700345617</v>
      </c>
      <c r="N8" s="17">
        <f t="shared" ref="N8:N16" si="4">IF(K8&lt;&gt;"",N7-L8,"")</f>
        <v>1723532.6208986037</v>
      </c>
      <c r="O8" s="2"/>
    </row>
    <row r="9" spans="2:15" x14ac:dyDescent="0.25">
      <c r="B9" s="2"/>
      <c r="C9" s="2"/>
      <c r="D9" s="2" t="s">
        <v>38</v>
      </c>
      <c r="E9" s="8">
        <v>400000</v>
      </c>
      <c r="F9" s="10">
        <v>0.82</v>
      </c>
      <c r="G9" s="17">
        <f>F9*E9</f>
        <v>328000</v>
      </c>
      <c r="I9" s="2"/>
      <c r="J9" s="10">
        <f t="shared" si="0"/>
        <v>3</v>
      </c>
      <c r="K9" s="11">
        <f t="shared" si="1"/>
        <v>372826.62456797896</v>
      </c>
      <c r="L9" s="17">
        <f t="shared" si="2"/>
        <v>234944.01489609067</v>
      </c>
      <c r="M9" s="17">
        <f t="shared" si="3"/>
        <v>137882.60967188829</v>
      </c>
      <c r="N9" s="17">
        <f t="shared" si="4"/>
        <v>1488588.6060025131</v>
      </c>
      <c r="O9" s="2"/>
    </row>
    <row r="10" spans="2:15" x14ac:dyDescent="0.25">
      <c r="B10" s="2"/>
      <c r="C10" s="2"/>
      <c r="D10" s="2" t="s">
        <v>39</v>
      </c>
      <c r="E10" s="8">
        <v>800000</v>
      </c>
      <c r="F10" s="10">
        <v>0.54</v>
      </c>
      <c r="G10" s="17">
        <f>F10*E10</f>
        <v>432000</v>
      </c>
      <c r="I10" s="2"/>
      <c r="J10" s="10">
        <f t="shared" si="0"/>
        <v>4</v>
      </c>
      <c r="K10" s="11">
        <f t="shared" si="1"/>
        <v>372826.62456797896</v>
      </c>
      <c r="L10" s="17">
        <f t="shared" si="2"/>
        <v>253739.5360877779</v>
      </c>
      <c r="M10" s="17">
        <f t="shared" si="3"/>
        <v>119087.08848020106</v>
      </c>
      <c r="N10" s="17">
        <f t="shared" si="4"/>
        <v>1234849.0699147352</v>
      </c>
      <c r="O10" s="2"/>
    </row>
    <row r="11" spans="2:15" x14ac:dyDescent="0.25">
      <c r="B11" s="2"/>
      <c r="C11" s="2"/>
      <c r="D11" s="13" t="s">
        <v>102</v>
      </c>
      <c r="E11" s="18">
        <f>SUM(E7:E10)</f>
        <v>4200000</v>
      </c>
      <c r="F11" s="5"/>
      <c r="G11" s="18">
        <f>SUM(G7:G10)</f>
        <v>3804999.9999999995</v>
      </c>
      <c r="I11" s="2"/>
      <c r="J11" s="10">
        <f t="shared" si="0"/>
        <v>5</v>
      </c>
      <c r="K11" s="11">
        <f t="shared" si="1"/>
        <v>372826.62456797896</v>
      </c>
      <c r="L11" s="17">
        <f t="shared" si="2"/>
        <v>274038.69897480012</v>
      </c>
      <c r="M11" s="17">
        <f t="shared" si="3"/>
        <v>98787.925593178821</v>
      </c>
      <c r="N11" s="17">
        <f t="shared" si="4"/>
        <v>960810.37093993509</v>
      </c>
      <c r="O11" s="2"/>
    </row>
    <row r="12" spans="2:15" x14ac:dyDescent="0.25">
      <c r="B12" s="2"/>
      <c r="C12" s="2"/>
      <c r="D12" s="2"/>
      <c r="E12" s="2"/>
      <c r="F12" s="2"/>
      <c r="G12" s="2"/>
      <c r="I12" s="2"/>
      <c r="J12" s="10">
        <f t="shared" si="0"/>
        <v>6</v>
      </c>
      <c r="K12" s="11">
        <f t="shared" si="1"/>
        <v>372826.62456797896</v>
      </c>
      <c r="L12" s="17">
        <f t="shared" si="2"/>
        <v>295961.79489278415</v>
      </c>
      <c r="M12" s="17">
        <f t="shared" si="3"/>
        <v>76864.829675194807</v>
      </c>
      <c r="N12" s="17">
        <f t="shared" si="4"/>
        <v>664848.57604715088</v>
      </c>
      <c r="O12" s="2"/>
    </row>
    <row r="13" spans="2:15" x14ac:dyDescent="0.25">
      <c r="B13" s="2"/>
      <c r="C13" s="2"/>
      <c r="D13" s="2"/>
      <c r="E13" s="2"/>
      <c r="F13" s="2"/>
      <c r="G13" s="2"/>
      <c r="I13" s="2"/>
      <c r="J13" s="10">
        <f t="shared" si="0"/>
        <v>7</v>
      </c>
      <c r="K13" s="11">
        <f t="shared" si="1"/>
        <v>372826.62456797896</v>
      </c>
      <c r="L13" s="17">
        <f t="shared" si="2"/>
        <v>319638.7384842069</v>
      </c>
      <c r="M13" s="17">
        <f t="shared" si="3"/>
        <v>53187.886083772071</v>
      </c>
      <c r="N13" s="17">
        <f t="shared" si="4"/>
        <v>345209.83756294398</v>
      </c>
      <c r="O13" s="2"/>
    </row>
    <row r="14" spans="2:15" x14ac:dyDescent="0.25">
      <c r="B14" s="2"/>
      <c r="C14" s="2"/>
      <c r="D14" s="13" t="s">
        <v>104</v>
      </c>
      <c r="E14" s="13" t="s">
        <v>26</v>
      </c>
      <c r="F14" s="13" t="s">
        <v>96</v>
      </c>
      <c r="G14" s="13" t="s">
        <v>27</v>
      </c>
      <c r="I14" s="2"/>
      <c r="J14" s="10">
        <f t="shared" si="0"/>
        <v>8</v>
      </c>
      <c r="K14" s="11">
        <f t="shared" si="1"/>
        <v>372826.62456797896</v>
      </c>
      <c r="L14" s="17">
        <f t="shared" si="2"/>
        <v>345209.83756294346</v>
      </c>
      <c r="M14" s="17">
        <f t="shared" si="3"/>
        <v>27616.78700503552</v>
      </c>
      <c r="N14" s="17">
        <f t="shared" si="4"/>
        <v>5.2386894822120667E-10</v>
      </c>
      <c r="O14" s="2"/>
    </row>
    <row r="15" spans="2:15" x14ac:dyDescent="0.25">
      <c r="B15" s="2"/>
      <c r="C15" s="2"/>
      <c r="D15" s="2" t="s">
        <v>36</v>
      </c>
      <c r="E15" s="8">
        <v>5000</v>
      </c>
      <c r="F15" s="10">
        <v>1.0149999999999999</v>
      </c>
      <c r="G15" s="17">
        <f>F15*E15</f>
        <v>5074.9999999999991</v>
      </c>
      <c r="I15" s="2"/>
      <c r="J15" s="10" t="str">
        <f t="shared" si="0"/>
        <v/>
      </c>
      <c r="K15" s="11" t="str">
        <f t="shared" si="1"/>
        <v/>
      </c>
      <c r="L15" s="17" t="str">
        <f t="shared" si="2"/>
        <v/>
      </c>
      <c r="M15" s="17" t="str">
        <f t="shared" si="3"/>
        <v/>
      </c>
      <c r="N15" s="17" t="str">
        <f t="shared" si="4"/>
        <v/>
      </c>
      <c r="O15" s="2"/>
    </row>
    <row r="16" spans="2:15" x14ac:dyDescent="0.25">
      <c r="B16" s="2"/>
      <c r="C16" s="2"/>
      <c r="D16" s="2" t="s">
        <v>38</v>
      </c>
      <c r="E16" s="8">
        <v>50000</v>
      </c>
      <c r="F16" s="10">
        <v>0.82</v>
      </c>
      <c r="G16" s="17">
        <f>F16*E16</f>
        <v>41000</v>
      </c>
      <c r="I16" s="2"/>
      <c r="J16" s="10" t="str">
        <f t="shared" si="0"/>
        <v/>
      </c>
      <c r="K16" s="11" t="str">
        <f t="shared" si="1"/>
        <v/>
      </c>
      <c r="L16" s="17" t="str">
        <f t="shared" si="2"/>
        <v/>
      </c>
      <c r="M16" s="17" t="str">
        <f t="shared" si="3"/>
        <v/>
      </c>
      <c r="N16" s="17" t="str">
        <f t="shared" si="4"/>
        <v/>
      </c>
      <c r="O16" s="2"/>
    </row>
    <row r="17" spans="2:15" x14ac:dyDescent="0.25">
      <c r="B17" s="2"/>
      <c r="C17" s="2"/>
      <c r="D17" s="2" t="s">
        <v>39</v>
      </c>
      <c r="E17" s="8">
        <v>30000</v>
      </c>
      <c r="F17" s="10">
        <v>0.54</v>
      </c>
      <c r="G17" s="17">
        <f>F17*E17</f>
        <v>16200.000000000002</v>
      </c>
      <c r="I17" s="2"/>
      <c r="J17" s="10"/>
      <c r="K17" s="2"/>
      <c r="L17" s="2"/>
      <c r="M17" s="2"/>
      <c r="N17" s="2"/>
      <c r="O17" s="2"/>
    </row>
    <row r="18" spans="2:15" x14ac:dyDescent="0.25">
      <c r="B18" s="2"/>
      <c r="C18" s="2"/>
      <c r="D18" s="13" t="s">
        <v>105</v>
      </c>
      <c r="E18" s="18">
        <f>SUM(E15:E17)</f>
        <v>85000</v>
      </c>
      <c r="F18" s="5"/>
      <c r="G18" s="18">
        <f>SUM(G15:G17)*EFIN!D71</f>
        <v>62275</v>
      </c>
      <c r="J18" s="41" t="s">
        <v>123</v>
      </c>
    </row>
    <row r="19" spans="2:15" x14ac:dyDescent="0.25">
      <c r="B19" s="2"/>
      <c r="C19" s="2"/>
      <c r="D19" s="2"/>
      <c r="E19" s="2"/>
      <c r="F19" s="2"/>
      <c r="G19" s="2"/>
      <c r="I19" s="2"/>
      <c r="J19" s="13" t="s">
        <v>117</v>
      </c>
      <c r="K19" s="2" t="s">
        <v>124</v>
      </c>
      <c r="L19" s="2" t="s">
        <v>125</v>
      </c>
      <c r="M19" s="2"/>
      <c r="N19" s="2"/>
      <c r="O19" s="2"/>
    </row>
    <row r="20" spans="2:15" x14ac:dyDescent="0.25">
      <c r="B20" s="2"/>
      <c r="C20" s="2"/>
      <c r="D20" s="2"/>
      <c r="E20" s="2"/>
      <c r="F20" s="2"/>
      <c r="G20" s="2"/>
      <c r="I20" s="2"/>
      <c r="J20" s="10">
        <v>0</v>
      </c>
      <c r="K20" s="44"/>
      <c r="L20" s="45">
        <f>$E$11</f>
        <v>4200000</v>
      </c>
      <c r="M20" s="2"/>
      <c r="N20" s="2"/>
      <c r="O20" s="2"/>
    </row>
    <row r="21" spans="2:15" x14ac:dyDescent="0.25">
      <c r="B21" s="2"/>
      <c r="C21" s="2" t="s">
        <v>106</v>
      </c>
      <c r="D21" s="2"/>
      <c r="E21" s="6">
        <v>15</v>
      </c>
      <c r="F21" s="2" t="s">
        <v>107</v>
      </c>
      <c r="G21" s="2"/>
      <c r="I21" s="2"/>
      <c r="J21" s="10">
        <f>IF(J20&lt;&gt;"",IF(J20+1&lt;=$E$21,J20+1,""),"")</f>
        <v>1</v>
      </c>
      <c r="K21" s="44">
        <f>IF(J21&lt;&gt;"",$L$20/$E$21,"")</f>
        <v>280000</v>
      </c>
      <c r="L21" s="45">
        <f>IF(J21&lt;&gt;"",L20-K21,"")</f>
        <v>3920000</v>
      </c>
      <c r="M21" s="2"/>
      <c r="N21" s="2"/>
      <c r="O21" s="2"/>
    </row>
    <row r="22" spans="2:15" x14ac:dyDescent="0.25">
      <c r="B22" s="2"/>
      <c r="C22" s="2"/>
      <c r="D22" s="2"/>
      <c r="E22" s="2"/>
      <c r="F22" s="2"/>
      <c r="G22" s="2"/>
      <c r="I22" s="2"/>
      <c r="J22" s="10">
        <f t="shared" ref="J22:J30" si="5">IF(J21&lt;&gt;"",IF(J21+1&lt;=$E$21,J21+1,""),"")</f>
        <v>2</v>
      </c>
      <c r="K22" s="44">
        <f t="shared" ref="K22:K30" si="6">IF(J22&lt;&gt;"",$L$20/$E$21,"")</f>
        <v>280000</v>
      </c>
      <c r="L22" s="45">
        <f t="shared" ref="L22:L30" si="7">IF(J22&lt;&gt;"",L21-K22,"")</f>
        <v>3640000</v>
      </c>
      <c r="M22" s="2"/>
      <c r="N22" s="2"/>
      <c r="O22" s="2"/>
    </row>
    <row r="23" spans="2:15" x14ac:dyDescent="0.25">
      <c r="B23" s="2"/>
      <c r="C23" s="2" t="s">
        <v>108</v>
      </c>
      <c r="D23" s="2"/>
      <c r="E23" s="17">
        <f>E11/$E$21</f>
        <v>280000</v>
      </c>
      <c r="F23" s="2"/>
      <c r="G23" s="2"/>
      <c r="I23" s="2"/>
      <c r="J23" s="10">
        <f t="shared" si="5"/>
        <v>3</v>
      </c>
      <c r="K23" s="44">
        <f t="shared" si="6"/>
        <v>280000</v>
      </c>
      <c r="L23" s="45">
        <f t="shared" si="7"/>
        <v>3360000</v>
      </c>
      <c r="M23" s="2"/>
      <c r="N23" s="2"/>
      <c r="O23" s="2"/>
    </row>
    <row r="24" spans="2:15" x14ac:dyDescent="0.25">
      <c r="B24" s="2"/>
      <c r="C24" s="2"/>
      <c r="D24" s="2"/>
      <c r="E24" s="2"/>
      <c r="F24" s="2"/>
      <c r="G24" s="2"/>
      <c r="I24" s="2"/>
      <c r="J24" s="10">
        <f t="shared" si="5"/>
        <v>4</v>
      </c>
      <c r="K24" s="44">
        <f t="shared" si="6"/>
        <v>280000</v>
      </c>
      <c r="L24" s="45">
        <f t="shared" si="7"/>
        <v>3080000</v>
      </c>
      <c r="M24" s="2"/>
      <c r="N24" s="2"/>
      <c r="O24" s="2"/>
    </row>
    <row r="25" spans="2:15" ht="18.75" x14ac:dyDescent="0.3">
      <c r="C25" s="26" t="s">
        <v>113</v>
      </c>
      <c r="D25" s="24"/>
      <c r="E25" s="24"/>
      <c r="F25" s="24"/>
      <c r="G25" s="24"/>
      <c r="I25" s="2"/>
      <c r="J25" s="10">
        <f t="shared" si="5"/>
        <v>5</v>
      </c>
      <c r="K25" s="44">
        <f t="shared" si="6"/>
        <v>280000</v>
      </c>
      <c r="L25" s="45">
        <f t="shared" si="7"/>
        <v>2800000</v>
      </c>
      <c r="M25" s="2"/>
      <c r="N25" s="2"/>
      <c r="O25" s="2"/>
    </row>
    <row r="26" spans="2:15" x14ac:dyDescent="0.25">
      <c r="B26" s="2"/>
      <c r="C26" s="2"/>
      <c r="D26" s="2"/>
      <c r="E26" s="2"/>
      <c r="F26" s="2"/>
      <c r="G26" s="2"/>
      <c r="I26" s="2"/>
      <c r="J26" s="10">
        <f t="shared" si="5"/>
        <v>6</v>
      </c>
      <c r="K26" s="44">
        <f t="shared" si="6"/>
        <v>280000</v>
      </c>
      <c r="L26" s="45">
        <f t="shared" si="7"/>
        <v>2520000</v>
      </c>
      <c r="M26" s="2"/>
      <c r="N26" s="2"/>
      <c r="O26" s="2"/>
    </row>
    <row r="27" spans="2:15" x14ac:dyDescent="0.25">
      <c r="B27" s="2"/>
      <c r="C27" s="2" t="s">
        <v>145</v>
      </c>
      <c r="D27" s="2"/>
      <c r="E27" s="20">
        <v>0.5</v>
      </c>
      <c r="F27" s="2"/>
      <c r="G27" s="2"/>
      <c r="I27" s="2"/>
      <c r="J27" s="10">
        <f t="shared" si="5"/>
        <v>7</v>
      </c>
      <c r="K27" s="44">
        <f t="shared" si="6"/>
        <v>280000</v>
      </c>
      <c r="L27" s="45">
        <f t="shared" si="7"/>
        <v>2240000</v>
      </c>
      <c r="M27" s="2"/>
      <c r="N27" s="2"/>
      <c r="O27" s="2"/>
    </row>
    <row r="28" spans="2:15" x14ac:dyDescent="0.25">
      <c r="B28" s="2"/>
      <c r="C28" s="2" t="s">
        <v>115</v>
      </c>
      <c r="D28" s="2"/>
      <c r="E28" s="6">
        <v>8</v>
      </c>
      <c r="F28" s="2" t="s">
        <v>107</v>
      </c>
      <c r="G28" s="2"/>
      <c r="I28" s="2"/>
      <c r="J28" s="10">
        <f t="shared" si="5"/>
        <v>8</v>
      </c>
      <c r="K28" s="44">
        <f t="shared" si="6"/>
        <v>280000</v>
      </c>
      <c r="L28" s="45">
        <f t="shared" si="7"/>
        <v>1960000</v>
      </c>
      <c r="M28" s="2"/>
      <c r="N28" s="2"/>
      <c r="O28" s="2"/>
    </row>
    <row r="29" spans="2:15" x14ac:dyDescent="0.25">
      <c r="B29" s="2"/>
      <c r="C29" s="2" t="s">
        <v>116</v>
      </c>
      <c r="D29" s="2"/>
      <c r="E29" s="20">
        <v>0.08</v>
      </c>
      <c r="F29" s="2"/>
      <c r="G29" s="2"/>
      <c r="I29" s="2"/>
      <c r="J29" s="10">
        <f t="shared" si="5"/>
        <v>9</v>
      </c>
      <c r="K29" s="44">
        <f t="shared" si="6"/>
        <v>280000</v>
      </c>
      <c r="L29" s="45">
        <f t="shared" si="7"/>
        <v>1680000</v>
      </c>
      <c r="M29" s="2"/>
      <c r="N29" s="2"/>
      <c r="O29" s="2"/>
    </row>
    <row r="30" spans="2:15" x14ac:dyDescent="0.25">
      <c r="B30" s="2"/>
      <c r="C30" s="2"/>
      <c r="D30" s="2"/>
      <c r="E30" s="2"/>
      <c r="F30" s="2"/>
      <c r="G30" s="2"/>
      <c r="I30" s="2"/>
      <c r="J30" s="10">
        <f t="shared" si="5"/>
        <v>10</v>
      </c>
      <c r="K30" s="44">
        <f t="shared" si="6"/>
        <v>280000</v>
      </c>
      <c r="L30" s="45">
        <f t="shared" si="7"/>
        <v>1400000</v>
      </c>
      <c r="M30" s="2"/>
      <c r="N30" s="2"/>
      <c r="O30" s="2"/>
    </row>
    <row r="31" spans="2:15" x14ac:dyDescent="0.25">
      <c r="B31" s="2"/>
      <c r="C31" s="2"/>
      <c r="D31" s="2"/>
      <c r="E31" s="2"/>
      <c r="F31" s="2"/>
      <c r="G31" s="2"/>
      <c r="J31" s="42"/>
    </row>
    <row r="32" spans="2:15" x14ac:dyDescent="0.25">
      <c r="C32" s="24"/>
      <c r="J32" s="14"/>
    </row>
    <row r="33" spans="10:10" x14ac:dyDescent="0.25">
      <c r="J33" s="14"/>
    </row>
    <row r="34" spans="10:10" x14ac:dyDescent="0.25">
      <c r="J34" s="14"/>
    </row>
    <row r="35" spans="10:10" x14ac:dyDescent="0.25">
      <c r="J35" s="14"/>
    </row>
    <row r="36" spans="10:10" x14ac:dyDescent="0.25">
      <c r="J36" s="14"/>
    </row>
  </sheetData>
  <mergeCells count="1">
    <mergeCell ref="C3:G4"/>
  </mergeCells>
  <dataValidations count="3">
    <dataValidation type="list" allowBlank="1" showInputMessage="1" showErrorMessage="1" sqref="E28">
      <formula1>"1,2,3,4,5,6,7,8,9,10"</formula1>
    </dataValidation>
    <dataValidation type="whole" operator="greaterThan" allowBlank="1" showInputMessage="1" showErrorMessage="1" sqref="E29">
      <formula1>0</formula1>
    </dataValidation>
    <dataValidation type="whole" allowBlank="1" showInputMessage="1" showErrorMessage="1" sqref="E21">
      <formula1>10</formula1>
      <formula2>20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9"/>
  <sheetViews>
    <sheetView showGridLines="0" topLeftCell="C1" zoomScaleNormal="100" workbookViewId="0">
      <selection activeCell="E33" sqref="E33"/>
    </sheetView>
  </sheetViews>
  <sheetFormatPr baseColWidth="10" defaultRowHeight="15" x14ac:dyDescent="0.25"/>
  <cols>
    <col min="1" max="1" width="2.42578125" customWidth="1"/>
    <col min="4" max="4" width="40.42578125" customWidth="1"/>
    <col min="5" max="5" width="21.140625" customWidth="1"/>
    <col min="6" max="6" width="23.140625" customWidth="1"/>
    <col min="7" max="7" width="4.7109375" customWidth="1"/>
    <col min="8" max="8" width="27.7109375" customWidth="1"/>
    <col min="9" max="9" width="2.42578125" style="25" customWidth="1"/>
  </cols>
  <sheetData>
    <row r="2" spans="2:8" ht="18.75" x14ac:dyDescent="0.3">
      <c r="C2" s="1" t="s">
        <v>111</v>
      </c>
    </row>
    <row r="3" spans="2:8" x14ac:dyDescent="0.25">
      <c r="B3" s="2"/>
      <c r="C3" s="2"/>
      <c r="D3" s="2"/>
      <c r="E3" s="2"/>
      <c r="F3" s="2"/>
      <c r="G3" s="2"/>
      <c r="H3" s="2"/>
    </row>
    <row r="4" spans="2:8" x14ac:dyDescent="0.25">
      <c r="B4" s="2"/>
      <c r="C4" s="2" t="s">
        <v>100</v>
      </c>
      <c r="D4" s="2"/>
      <c r="E4" s="2"/>
      <c r="F4" s="2"/>
      <c r="G4" s="2"/>
      <c r="H4" s="2"/>
    </row>
    <row r="5" spans="2:8" x14ac:dyDescent="0.25">
      <c r="B5" s="2"/>
      <c r="C5" s="2"/>
      <c r="D5" s="2"/>
      <c r="E5" s="2"/>
      <c r="F5" s="2"/>
      <c r="G5" s="2"/>
      <c r="H5" s="2"/>
    </row>
    <row r="6" spans="2:8" x14ac:dyDescent="0.25">
      <c r="B6" s="2"/>
      <c r="C6" s="2"/>
      <c r="D6" s="2" t="s">
        <v>29</v>
      </c>
      <c r="E6" s="53">
        <v>400000</v>
      </c>
      <c r="F6" s="2" t="s">
        <v>22</v>
      </c>
      <c r="G6" s="2"/>
      <c r="H6" s="2"/>
    </row>
    <row r="7" spans="2:8" x14ac:dyDescent="0.25">
      <c r="B7" s="2"/>
      <c r="C7" s="2"/>
      <c r="D7" s="2" t="s">
        <v>73</v>
      </c>
      <c r="E7" s="44">
        <f>E6*365</f>
        <v>146000000</v>
      </c>
      <c r="F7" s="2" t="s">
        <v>30</v>
      </c>
      <c r="G7" s="2"/>
      <c r="H7" s="2"/>
    </row>
    <row r="8" spans="2:8" x14ac:dyDescent="0.25">
      <c r="B8" s="2"/>
      <c r="C8" s="2"/>
      <c r="D8" s="2" t="s">
        <v>157</v>
      </c>
      <c r="E8" s="44">
        <f>E6/Base!D2</f>
        <v>266.66666666666669</v>
      </c>
      <c r="F8" s="2" t="s">
        <v>92</v>
      </c>
      <c r="G8" s="2"/>
      <c r="H8" s="2"/>
    </row>
    <row r="9" spans="2:8" x14ac:dyDescent="0.25">
      <c r="B9" s="2"/>
      <c r="C9" s="2"/>
      <c r="D9" s="2" t="s">
        <v>158</v>
      </c>
      <c r="E9" s="44">
        <f>E8*30</f>
        <v>8000.0000000000009</v>
      </c>
      <c r="F9" s="2" t="s">
        <v>109</v>
      </c>
      <c r="G9" s="29">
        <f>E9/1000</f>
        <v>8.0000000000000018</v>
      </c>
      <c r="H9" s="2" t="s">
        <v>110</v>
      </c>
    </row>
    <row r="10" spans="2:8" x14ac:dyDescent="0.25">
      <c r="B10" s="2"/>
      <c r="C10" s="2"/>
      <c r="D10" s="2"/>
      <c r="E10" s="2"/>
      <c r="F10" s="2"/>
      <c r="G10" s="2"/>
      <c r="H10" s="2"/>
    </row>
    <row r="11" spans="2:8" x14ac:dyDescent="0.25">
      <c r="B11" s="2"/>
      <c r="C11" s="2"/>
      <c r="D11" s="2" t="s">
        <v>159</v>
      </c>
      <c r="E11" s="44">
        <f>EFIN!D49</f>
        <v>8963.2728577314756</v>
      </c>
      <c r="F11" s="2" t="s">
        <v>109</v>
      </c>
      <c r="G11" s="2">
        <f>E11/1000</f>
        <v>8.9632728577314751</v>
      </c>
      <c r="H11" s="2" t="s">
        <v>110</v>
      </c>
    </row>
    <row r="12" spans="2:8" x14ac:dyDescent="0.25">
      <c r="B12" s="2"/>
      <c r="C12" s="2"/>
      <c r="D12" s="2"/>
      <c r="E12" s="2"/>
      <c r="F12" s="2"/>
      <c r="G12" s="2"/>
      <c r="H12" s="2"/>
    </row>
    <row r="13" spans="2:8" x14ac:dyDescent="0.25">
      <c r="B13" s="2"/>
      <c r="C13" s="2" t="s">
        <v>74</v>
      </c>
      <c r="D13" s="2"/>
      <c r="E13" s="2"/>
      <c r="F13" s="2"/>
      <c r="G13" s="2"/>
      <c r="H13" s="2"/>
    </row>
    <row r="14" spans="2:8" x14ac:dyDescent="0.25">
      <c r="B14" s="2"/>
      <c r="C14" s="2"/>
      <c r="D14" s="2"/>
      <c r="E14" s="2"/>
      <c r="F14" s="2"/>
      <c r="G14" s="2"/>
      <c r="H14" s="2"/>
    </row>
    <row r="15" spans="2:8" x14ac:dyDescent="0.25">
      <c r="B15" s="2"/>
      <c r="C15" s="2"/>
      <c r="D15" s="5" t="s">
        <v>95</v>
      </c>
      <c r="E15" s="5" t="s">
        <v>26</v>
      </c>
      <c r="F15" s="13" t="s">
        <v>96</v>
      </c>
      <c r="G15" s="13"/>
      <c r="H15" s="13" t="s">
        <v>27</v>
      </c>
    </row>
    <row r="16" spans="2:8" x14ac:dyDescent="0.25">
      <c r="B16" s="2"/>
      <c r="C16" s="2"/>
      <c r="D16" s="2" t="s">
        <v>25</v>
      </c>
      <c r="E16" s="8">
        <v>40000</v>
      </c>
      <c r="F16" s="9">
        <v>1.0149999999999999</v>
      </c>
      <c r="G16" s="9"/>
      <c r="H16" s="11">
        <f>E16*F16</f>
        <v>40599.999999999993</v>
      </c>
    </row>
    <row r="17" spans="2:8" x14ac:dyDescent="0.25">
      <c r="B17" s="2"/>
      <c r="C17" s="2"/>
      <c r="D17" s="2" t="s">
        <v>75</v>
      </c>
      <c r="E17" s="8">
        <v>60000</v>
      </c>
      <c r="F17" s="9">
        <v>1</v>
      </c>
      <c r="G17" s="9"/>
      <c r="H17" s="11">
        <f>F17*E17</f>
        <v>60000</v>
      </c>
    </row>
    <row r="18" spans="2:8" x14ac:dyDescent="0.25">
      <c r="B18" s="2"/>
      <c r="C18" s="2"/>
      <c r="D18" s="2" t="s">
        <v>23</v>
      </c>
      <c r="E18" s="8">
        <f>'Detalle Costos Producción'!F9*12</f>
        <v>388875</v>
      </c>
      <c r="F18" s="9">
        <v>0.82</v>
      </c>
      <c r="G18" s="9"/>
      <c r="H18" s="11">
        <f>E18*F18</f>
        <v>318877.5</v>
      </c>
    </row>
    <row r="19" spans="2:8" x14ac:dyDescent="0.25">
      <c r="B19" s="2"/>
      <c r="C19" s="2"/>
      <c r="D19" s="2" t="s">
        <v>24</v>
      </c>
      <c r="E19" s="8">
        <f>'Detalle Costos Producción'!F10*12</f>
        <v>44625</v>
      </c>
      <c r="F19" s="9">
        <v>0.54</v>
      </c>
      <c r="G19" s="9"/>
      <c r="H19" s="11">
        <f>E19*F19</f>
        <v>24097.5</v>
      </c>
    </row>
    <row r="20" spans="2:8" x14ac:dyDescent="0.25">
      <c r="B20" s="2"/>
      <c r="C20" s="2"/>
      <c r="D20" s="13" t="s">
        <v>101</v>
      </c>
      <c r="E20" s="55">
        <f>SUM(E16:E19)</f>
        <v>533500</v>
      </c>
      <c r="F20" s="2"/>
      <c r="G20" s="2"/>
      <c r="H20" s="55">
        <f>SUM(H16:H19)</f>
        <v>443575</v>
      </c>
    </row>
    <row r="21" spans="2:8" x14ac:dyDescent="0.25">
      <c r="B21" s="2"/>
      <c r="C21" s="2"/>
      <c r="D21" s="2"/>
      <c r="E21" s="2"/>
      <c r="F21" s="2"/>
      <c r="G21" s="2"/>
      <c r="H21" s="2"/>
    </row>
    <row r="22" spans="2:8" x14ac:dyDescent="0.25">
      <c r="B22" s="2"/>
      <c r="C22" s="2"/>
      <c r="D22" s="2"/>
      <c r="E22" s="13" t="s">
        <v>31</v>
      </c>
      <c r="F22" s="13" t="s">
        <v>32</v>
      </c>
      <c r="G22" s="13"/>
      <c r="H22" s="2"/>
    </row>
    <row r="23" spans="2:8" x14ac:dyDescent="0.25">
      <c r="B23" s="2"/>
      <c r="C23" s="2"/>
      <c r="D23" s="5" t="s">
        <v>28</v>
      </c>
      <c r="E23" s="23">
        <f>E20/E7</f>
        <v>3.6541095890410959E-3</v>
      </c>
      <c r="F23" s="23">
        <f>H20/E7</f>
        <v>3.0381849315068493E-3</v>
      </c>
      <c r="G23" s="23"/>
      <c r="H23" s="2"/>
    </row>
    <row r="24" spans="2:8" x14ac:dyDescent="0.25">
      <c r="B24" s="2"/>
      <c r="C24" s="2"/>
      <c r="D24" s="2"/>
      <c r="E24" s="12">
        <f>+E23*1000</f>
        <v>3.654109589041096</v>
      </c>
      <c r="F24" s="12">
        <f>+F23*1000</f>
        <v>3.0381849315068492</v>
      </c>
      <c r="G24" s="12"/>
      <c r="H24" s="2"/>
    </row>
    <row r="25" spans="2:8" x14ac:dyDescent="0.25">
      <c r="B25" s="2"/>
      <c r="C25" s="2"/>
      <c r="D25" s="5" t="s">
        <v>41</v>
      </c>
      <c r="E25" s="12"/>
      <c r="F25" s="12"/>
      <c r="G25" s="12"/>
      <c r="H25" s="2"/>
    </row>
    <row r="26" spans="2:8" x14ac:dyDescent="0.25">
      <c r="B26" s="2"/>
      <c r="C26" s="2"/>
      <c r="D26" s="28" t="s">
        <v>42</v>
      </c>
      <c r="E26" s="69">
        <v>0.02</v>
      </c>
      <c r="F26" s="12"/>
      <c r="G26" s="12"/>
      <c r="H26" s="2"/>
    </row>
    <row r="27" spans="2:8" x14ac:dyDescent="0.25">
      <c r="B27" s="2"/>
      <c r="C27" s="2"/>
      <c r="D27" s="2"/>
      <c r="E27" s="12"/>
      <c r="F27" s="12"/>
      <c r="G27" s="12"/>
      <c r="H27" s="2"/>
    </row>
    <row r="28" spans="2:8" x14ac:dyDescent="0.25">
      <c r="B28" s="2"/>
      <c r="C28" s="2"/>
      <c r="D28" s="2"/>
      <c r="E28" s="12"/>
      <c r="F28" s="12"/>
      <c r="G28" s="12"/>
      <c r="H28" s="2"/>
    </row>
    <row r="29" spans="2:8" x14ac:dyDescent="0.25">
      <c r="B29" s="2"/>
      <c r="C29" s="2"/>
      <c r="D29" s="2"/>
      <c r="E29" s="2"/>
      <c r="F29" s="2"/>
      <c r="G29" s="2"/>
      <c r="H29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2"/>
  <sheetViews>
    <sheetView showGridLines="0" topLeftCell="C1" zoomScale="120" zoomScaleNormal="120" workbookViewId="0">
      <selection activeCell="F10" sqref="F10"/>
    </sheetView>
  </sheetViews>
  <sheetFormatPr baseColWidth="10" defaultRowHeight="15" x14ac:dyDescent="0.25"/>
  <cols>
    <col min="1" max="1" width="4" customWidth="1"/>
    <col min="2" max="2" width="32.28515625" customWidth="1"/>
    <col min="3" max="3" width="16.28515625" customWidth="1"/>
    <col min="4" max="4" width="22.5703125" customWidth="1"/>
    <col min="5" max="5" width="23.5703125" customWidth="1"/>
    <col min="7" max="7" width="2.5703125" style="25" customWidth="1"/>
  </cols>
  <sheetData>
    <row r="2" spans="2:6" x14ac:dyDescent="0.25">
      <c r="B2" s="13" t="s">
        <v>76</v>
      </c>
      <c r="C2" s="13" t="s">
        <v>80</v>
      </c>
      <c r="D2" s="13" t="s">
        <v>83</v>
      </c>
      <c r="E2" s="13" t="s">
        <v>84</v>
      </c>
      <c r="F2" s="13" t="s">
        <v>87</v>
      </c>
    </row>
    <row r="3" spans="2:6" x14ac:dyDescent="0.25">
      <c r="B3" s="30" t="s">
        <v>77</v>
      </c>
      <c r="C3" s="30" t="s">
        <v>81</v>
      </c>
      <c r="D3" s="30">
        <v>15000</v>
      </c>
      <c r="E3" s="30">
        <f>D3*$C$9</f>
        <v>937.5</v>
      </c>
      <c r="F3" s="31">
        <f>D3+E3</f>
        <v>15937.5</v>
      </c>
    </row>
    <row r="4" spans="2:6" x14ac:dyDescent="0.25">
      <c r="B4" s="32" t="s">
        <v>78</v>
      </c>
      <c r="C4" s="32" t="s">
        <v>81</v>
      </c>
      <c r="D4" s="32">
        <v>8000</v>
      </c>
      <c r="E4" s="32">
        <f t="shared" ref="E4:E6" si="0">D4*$C$9</f>
        <v>500</v>
      </c>
      <c r="F4" s="33">
        <f t="shared" ref="F4:F6" si="1">D4+E4</f>
        <v>8500</v>
      </c>
    </row>
    <row r="5" spans="2:6" x14ac:dyDescent="0.25">
      <c r="B5" s="32" t="s">
        <v>79</v>
      </c>
      <c r="C5" s="32" t="s">
        <v>81</v>
      </c>
      <c r="D5" s="32">
        <v>7500</v>
      </c>
      <c r="E5" s="32">
        <f t="shared" si="0"/>
        <v>468.75</v>
      </c>
      <c r="F5" s="33">
        <f t="shared" si="1"/>
        <v>7968.75</v>
      </c>
    </row>
    <row r="6" spans="2:6" x14ac:dyDescent="0.25">
      <c r="B6" s="34" t="s">
        <v>85</v>
      </c>
      <c r="C6" s="34" t="s">
        <v>82</v>
      </c>
      <c r="D6" s="34">
        <v>3500</v>
      </c>
      <c r="E6" s="34">
        <f t="shared" si="0"/>
        <v>218.75</v>
      </c>
      <c r="F6" s="35">
        <f t="shared" si="1"/>
        <v>3718.75</v>
      </c>
    </row>
    <row r="7" spans="2:6" x14ac:dyDescent="0.25">
      <c r="B7" s="36"/>
      <c r="C7" s="36"/>
      <c r="D7" s="36"/>
      <c r="E7" s="36" t="s">
        <v>88</v>
      </c>
      <c r="F7" s="37">
        <f>SUM(F3:F6)</f>
        <v>36125</v>
      </c>
    </row>
    <row r="8" spans="2:6" x14ac:dyDescent="0.25">
      <c r="B8" s="2"/>
      <c r="C8" s="2"/>
      <c r="D8" s="2"/>
      <c r="E8" s="2"/>
      <c r="F8" s="2"/>
    </row>
    <row r="9" spans="2:6" x14ac:dyDescent="0.25">
      <c r="B9" s="2" t="s">
        <v>86</v>
      </c>
      <c r="C9" s="38">
        <v>6.25E-2</v>
      </c>
      <c r="D9" s="2"/>
      <c r="E9" s="2" t="s">
        <v>89</v>
      </c>
      <c r="F9" s="11">
        <f>SUMIFS($F$3:$F$6,$C$3:$C$6,"Calificado")</f>
        <v>32406.25</v>
      </c>
    </row>
    <row r="10" spans="2:6" x14ac:dyDescent="0.25">
      <c r="B10" s="2"/>
      <c r="C10" s="2"/>
      <c r="D10" s="2"/>
      <c r="E10" s="2" t="s">
        <v>90</v>
      </c>
      <c r="F10" s="11">
        <f>SUMIFS($F$3:$F$6,$C$3:$C$6,"No Calificado")</f>
        <v>3718.75</v>
      </c>
    </row>
    <row r="11" spans="2:6" x14ac:dyDescent="0.25">
      <c r="B11" s="2"/>
      <c r="C11" s="2"/>
      <c r="D11" s="2"/>
      <c r="E11" s="2"/>
      <c r="F11" s="2"/>
    </row>
    <row r="12" spans="2:6" x14ac:dyDescent="0.25">
      <c r="B12" s="2"/>
      <c r="C12" s="2"/>
      <c r="D12" s="2"/>
      <c r="E12" s="2"/>
      <c r="F12" s="2"/>
    </row>
  </sheetData>
  <dataValidations count="1">
    <dataValidation type="list" allowBlank="1" showInputMessage="1" showErrorMessage="1" sqref="C3:C6">
      <formula1>"Calificado, No Calificado"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73"/>
  <sheetViews>
    <sheetView showGridLines="0" zoomScale="90" zoomScaleNormal="90" workbookViewId="0">
      <selection activeCell="D43" sqref="D43"/>
    </sheetView>
  </sheetViews>
  <sheetFormatPr baseColWidth="10" defaultRowHeight="15" x14ac:dyDescent="0.25"/>
  <cols>
    <col min="1" max="1" width="8.42578125" customWidth="1"/>
    <col min="2" max="2" width="3.5703125" customWidth="1"/>
    <col min="3" max="3" width="35.85546875" customWidth="1"/>
    <col min="4" max="4" width="17.42578125" customWidth="1"/>
    <col min="5" max="7" width="14" customWidth="1"/>
    <col min="8" max="8" width="13.42578125" customWidth="1"/>
    <col min="9" max="9" width="13.85546875" customWidth="1"/>
    <col min="10" max="13" width="12.28515625" bestFit="1" customWidth="1"/>
    <col min="14" max="14" width="13.42578125" customWidth="1"/>
  </cols>
  <sheetData>
    <row r="2" spans="2:15" ht="21" x14ac:dyDescent="0.35">
      <c r="B2" s="46" t="s">
        <v>33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2:15" x14ac:dyDescent="0.2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2:15" x14ac:dyDescent="0.25">
      <c r="B4" s="112" t="s">
        <v>34</v>
      </c>
      <c r="C4" s="112"/>
      <c r="D4" s="112"/>
      <c r="E4" s="112"/>
      <c r="F4" s="112"/>
      <c r="G4" s="112"/>
      <c r="H4" s="112"/>
      <c r="I4" s="112"/>
      <c r="J4" s="2"/>
      <c r="K4" s="2"/>
      <c r="L4" s="2"/>
      <c r="M4" s="2"/>
      <c r="N4" s="2"/>
      <c r="O4" s="2"/>
    </row>
    <row r="5" spans="2:15" x14ac:dyDescent="0.25">
      <c r="B5" s="112"/>
      <c r="C5" s="112"/>
      <c r="D5" s="112"/>
      <c r="E5" s="112"/>
      <c r="F5" s="112"/>
      <c r="G5" s="112"/>
      <c r="H5" s="112"/>
      <c r="I5" s="112"/>
      <c r="J5" s="2"/>
      <c r="K5" s="2"/>
      <c r="L5" s="2"/>
      <c r="M5" s="2"/>
      <c r="N5" s="2"/>
      <c r="O5" s="2"/>
    </row>
    <row r="6" spans="2:15" x14ac:dyDescent="0.25">
      <c r="B6" s="112"/>
      <c r="C6" s="112"/>
      <c r="D6" s="112"/>
      <c r="E6" s="112"/>
      <c r="F6" s="112"/>
      <c r="G6" s="112"/>
      <c r="H6" s="112"/>
      <c r="I6" s="112"/>
      <c r="J6" s="2"/>
      <c r="K6" s="2"/>
      <c r="L6" s="2"/>
      <c r="M6" s="2"/>
      <c r="N6" s="2"/>
      <c r="O6" s="2"/>
    </row>
    <row r="7" spans="2:15" x14ac:dyDescent="0.25">
      <c r="B7" s="2" t="s">
        <v>40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2:15" x14ac:dyDescent="0.25">
      <c r="B8" s="36"/>
      <c r="C8" s="36"/>
      <c r="D8" s="61">
        <v>0</v>
      </c>
      <c r="E8" s="61">
        <v>1</v>
      </c>
      <c r="F8" s="61">
        <v>2</v>
      </c>
      <c r="G8" s="61">
        <v>3</v>
      </c>
      <c r="H8" s="61">
        <v>4</v>
      </c>
      <c r="I8" s="61">
        <v>5</v>
      </c>
      <c r="J8" s="61">
        <v>6</v>
      </c>
      <c r="K8" s="61">
        <v>7</v>
      </c>
      <c r="L8" s="61">
        <v>8</v>
      </c>
      <c r="M8" s="61">
        <v>9</v>
      </c>
      <c r="N8" s="61">
        <v>10</v>
      </c>
      <c r="O8" s="2"/>
    </row>
    <row r="9" spans="2:15" x14ac:dyDescent="0.25">
      <c r="B9" s="10" t="s">
        <v>133</v>
      </c>
      <c r="C9" s="5" t="s">
        <v>128</v>
      </c>
      <c r="D9" s="43"/>
      <c r="E9" s="43">
        <f>EFIN!D44*CONP!E11*Base!D2*12</f>
        <v>7960754.3071580771</v>
      </c>
      <c r="F9" s="43">
        <f t="shared" ref="F9:N9" si="0">$E$9</f>
        <v>7960754.3071580771</v>
      </c>
      <c r="G9" s="43">
        <f t="shared" si="0"/>
        <v>7960754.3071580771</v>
      </c>
      <c r="H9" s="43">
        <f t="shared" si="0"/>
        <v>7960754.3071580771</v>
      </c>
      <c r="I9" s="43">
        <f t="shared" si="0"/>
        <v>7960754.3071580771</v>
      </c>
      <c r="J9" s="43">
        <f t="shared" si="0"/>
        <v>7960754.3071580771</v>
      </c>
      <c r="K9" s="43">
        <f t="shared" si="0"/>
        <v>7960754.3071580771</v>
      </c>
      <c r="L9" s="43">
        <f t="shared" si="0"/>
        <v>7960754.3071580771</v>
      </c>
      <c r="M9" s="43">
        <f t="shared" si="0"/>
        <v>7960754.3071580771</v>
      </c>
      <c r="N9" s="43">
        <f t="shared" si="0"/>
        <v>7960754.3071580771</v>
      </c>
      <c r="O9" s="2"/>
    </row>
    <row r="10" spans="2:15" x14ac:dyDescent="0.25">
      <c r="B10" s="10"/>
      <c r="C10" s="5" t="s">
        <v>182</v>
      </c>
      <c r="D10" s="43"/>
      <c r="E10" s="43">
        <v>100000</v>
      </c>
      <c r="F10" s="43">
        <v>100000</v>
      </c>
      <c r="G10" s="43">
        <v>100000</v>
      </c>
      <c r="H10" s="43">
        <v>100000</v>
      </c>
      <c r="I10" s="43">
        <v>100000</v>
      </c>
      <c r="J10" s="43">
        <v>100000</v>
      </c>
      <c r="K10" s="43">
        <v>100000</v>
      </c>
      <c r="L10" s="43">
        <v>100000</v>
      </c>
      <c r="M10" s="43">
        <v>100000</v>
      </c>
      <c r="N10" s="43">
        <v>100000</v>
      </c>
      <c r="O10" s="2"/>
    </row>
    <row r="11" spans="2:15" x14ac:dyDescent="0.25">
      <c r="B11" s="10" t="s">
        <v>134</v>
      </c>
      <c r="C11" s="5" t="s">
        <v>129</v>
      </c>
      <c r="D11" s="43"/>
      <c r="E11" s="43">
        <f>IF(E15&lt;&gt;"",SUM(E12:E15),SUM(E12:E14))</f>
        <v>1068900</v>
      </c>
      <c r="F11" s="43">
        <f t="shared" ref="F11:N11" si="1">IF(F15&lt;&gt;"",SUM(F12:F15),SUM(F12:F14))</f>
        <v>1052785.8700345617</v>
      </c>
      <c r="G11" s="43">
        <f t="shared" si="1"/>
        <v>1035382.6096718883</v>
      </c>
      <c r="H11" s="43">
        <f t="shared" si="1"/>
        <v>1016587.0884802011</v>
      </c>
      <c r="I11" s="43">
        <f t="shared" si="1"/>
        <v>996287.92559317884</v>
      </c>
      <c r="J11" s="43">
        <f t="shared" si="1"/>
        <v>974364.82967519481</v>
      </c>
      <c r="K11" s="43">
        <f t="shared" si="1"/>
        <v>950687.88608377206</v>
      </c>
      <c r="L11" s="43">
        <f t="shared" si="1"/>
        <v>925116.78700503556</v>
      </c>
      <c r="M11" s="43">
        <f t="shared" si="1"/>
        <v>897500</v>
      </c>
      <c r="N11" s="43">
        <f t="shared" si="1"/>
        <v>897500</v>
      </c>
      <c r="O11" s="2"/>
    </row>
    <row r="12" spans="2:15" x14ac:dyDescent="0.25">
      <c r="B12" s="10"/>
      <c r="C12" s="28" t="s">
        <v>46</v>
      </c>
      <c r="D12" s="43"/>
      <c r="E12" s="43">
        <f>CONP!$E$20*D72</f>
        <v>533500</v>
      </c>
      <c r="F12" s="43">
        <f>CONP!$E$20</f>
        <v>533500</v>
      </c>
      <c r="G12" s="43">
        <f>CONP!$E$20</f>
        <v>533500</v>
      </c>
      <c r="H12" s="43">
        <f>CONP!$E$20</f>
        <v>533500</v>
      </c>
      <c r="I12" s="43">
        <f>CONP!$E$20</f>
        <v>533500</v>
      </c>
      <c r="J12" s="43">
        <f>CONP!$E$20</f>
        <v>533500</v>
      </c>
      <c r="K12" s="43">
        <f>CONP!$E$20</f>
        <v>533500</v>
      </c>
      <c r="L12" s="43">
        <f>CONP!$E$20</f>
        <v>533500</v>
      </c>
      <c r="M12" s="43">
        <f>CONP!$E$20</f>
        <v>533500</v>
      </c>
      <c r="N12" s="43">
        <f>CONP!$E$20</f>
        <v>533500</v>
      </c>
      <c r="O12" s="2"/>
    </row>
    <row r="13" spans="2:15" x14ac:dyDescent="0.25">
      <c r="B13" s="10"/>
      <c r="C13" s="28" t="s">
        <v>41</v>
      </c>
      <c r="D13" s="43"/>
      <c r="E13" s="43">
        <f>Inversiones!$E$11*CONP!$E$26</f>
        <v>84000</v>
      </c>
      <c r="F13" s="43">
        <f>Inversiones!$E$11*CONP!$E$26</f>
        <v>84000</v>
      </c>
      <c r="G13" s="43">
        <f>Inversiones!$E$11*CONP!$E$26</f>
        <v>84000</v>
      </c>
      <c r="H13" s="43">
        <f>Inversiones!$E$11*CONP!$E$26</f>
        <v>84000</v>
      </c>
      <c r="I13" s="43">
        <f>Inversiones!$E$11*CONP!$E$26</f>
        <v>84000</v>
      </c>
      <c r="J13" s="43">
        <f>Inversiones!$E$11*CONP!$E$26</f>
        <v>84000</v>
      </c>
      <c r="K13" s="43">
        <f>Inversiones!$E$11*CONP!$E$26</f>
        <v>84000</v>
      </c>
      <c r="L13" s="43">
        <f>Inversiones!$E$11*CONP!$E$26</f>
        <v>84000</v>
      </c>
      <c r="M13" s="43">
        <f>Inversiones!$E$11*CONP!$E$26</f>
        <v>84000</v>
      </c>
      <c r="N13" s="43">
        <f>Inversiones!$E$11*CONP!$E$26</f>
        <v>84000</v>
      </c>
      <c r="O13" s="2"/>
    </row>
    <row r="14" spans="2:15" x14ac:dyDescent="0.25">
      <c r="B14" s="10"/>
      <c r="C14" s="28" t="s">
        <v>127</v>
      </c>
      <c r="D14" s="43"/>
      <c r="E14" s="43">
        <f t="array" ref="E14:N14">TRANSPOSE(Inversiones!K21:K30)</f>
        <v>280000</v>
      </c>
      <c r="F14" s="43">
        <v>280000</v>
      </c>
      <c r="G14" s="43">
        <v>280000</v>
      </c>
      <c r="H14" s="43">
        <v>280000</v>
      </c>
      <c r="I14" s="43">
        <v>280000</v>
      </c>
      <c r="J14" s="43">
        <v>280000</v>
      </c>
      <c r="K14" s="43">
        <v>280000</v>
      </c>
      <c r="L14" s="43">
        <v>280000</v>
      </c>
      <c r="M14" s="43">
        <v>280000</v>
      </c>
      <c r="N14" s="43">
        <v>280000</v>
      </c>
      <c r="O14" s="2"/>
    </row>
    <row r="15" spans="2:15" x14ac:dyDescent="0.25">
      <c r="B15" s="10"/>
      <c r="C15" s="28" t="s">
        <v>131</v>
      </c>
      <c r="D15" s="43"/>
      <c r="E15" s="43">
        <f t="array" ref="E15:N15">TRANSPOSE(Inversiones!M7:M16)</f>
        <v>171400</v>
      </c>
      <c r="F15" s="43">
        <v>155285.8700345617</v>
      </c>
      <c r="G15" s="43">
        <v>137882.60967188829</v>
      </c>
      <c r="H15" s="43">
        <v>119087.08848020106</v>
      </c>
      <c r="I15" s="43">
        <v>98787.925593178821</v>
      </c>
      <c r="J15" s="43">
        <v>76864.829675194807</v>
      </c>
      <c r="K15" s="43">
        <v>53187.886083772071</v>
      </c>
      <c r="L15" s="43">
        <v>27616.78700503552</v>
      </c>
      <c r="M15" s="43" t="str">
        <v/>
      </c>
      <c r="N15" s="43" t="str">
        <v/>
      </c>
      <c r="O15" s="2"/>
    </row>
    <row r="16" spans="2:15" x14ac:dyDescent="0.25">
      <c r="B16" s="61" t="s">
        <v>135</v>
      </c>
      <c r="C16" s="62" t="s">
        <v>130</v>
      </c>
      <c r="D16" s="65"/>
      <c r="E16" s="65">
        <f>E9+E10-E11</f>
        <v>6991854.3071580771</v>
      </c>
      <c r="F16" s="65">
        <f t="shared" ref="F16:N16" si="2">F9+F10-F11</f>
        <v>7007968.4371235156</v>
      </c>
      <c r="G16" s="65">
        <f t="shared" si="2"/>
        <v>7025371.6974861892</v>
      </c>
      <c r="H16" s="65">
        <f t="shared" si="2"/>
        <v>7044167.2186778765</v>
      </c>
      <c r="I16" s="65">
        <f t="shared" si="2"/>
        <v>7064466.3815648984</v>
      </c>
      <c r="J16" s="65">
        <f t="shared" si="2"/>
        <v>7086389.4774828823</v>
      </c>
      <c r="K16" s="65">
        <f t="shared" si="2"/>
        <v>7110066.4210743047</v>
      </c>
      <c r="L16" s="65">
        <f t="shared" si="2"/>
        <v>7135637.5201530419</v>
      </c>
      <c r="M16" s="65">
        <f t="shared" si="2"/>
        <v>7163254.3071580771</v>
      </c>
      <c r="N16" s="65">
        <f t="shared" si="2"/>
        <v>7163254.3071580771</v>
      </c>
      <c r="O16" s="2"/>
    </row>
    <row r="17" spans="2:15" x14ac:dyDescent="0.25">
      <c r="B17" s="10" t="s">
        <v>134</v>
      </c>
      <c r="C17" s="5" t="s">
        <v>132</v>
      </c>
      <c r="D17" s="43"/>
      <c r="E17" s="43">
        <f>IF(E16&lt;0,0,E16*$D$55)</f>
        <v>2097556.2921474231</v>
      </c>
      <c r="F17" s="43">
        <f t="shared" ref="F17:N17" si="3">IF(F16&lt;0,0,F16*$D$55)</f>
        <v>2102390.5311370548</v>
      </c>
      <c r="G17" s="43">
        <f t="shared" si="3"/>
        <v>2107611.5092458567</v>
      </c>
      <c r="H17" s="43">
        <f t="shared" si="3"/>
        <v>2113250.165603363</v>
      </c>
      <c r="I17" s="43">
        <f t="shared" si="3"/>
        <v>2119339.9144694693</v>
      </c>
      <c r="J17" s="43">
        <f t="shared" si="3"/>
        <v>2125916.8432448646</v>
      </c>
      <c r="K17" s="43">
        <f t="shared" si="3"/>
        <v>2133019.9263222911</v>
      </c>
      <c r="L17" s="43">
        <f t="shared" si="3"/>
        <v>2140691.2560459124</v>
      </c>
      <c r="M17" s="43">
        <f t="shared" si="3"/>
        <v>2148976.2921474231</v>
      </c>
      <c r="N17" s="43">
        <f t="shared" si="3"/>
        <v>2148976.2921474231</v>
      </c>
      <c r="O17" s="2"/>
    </row>
    <row r="18" spans="2:15" x14ac:dyDescent="0.25">
      <c r="B18" s="61" t="s">
        <v>135</v>
      </c>
      <c r="C18" s="62" t="s">
        <v>139</v>
      </c>
      <c r="D18" s="65"/>
      <c r="E18" s="65">
        <f>E16-E17</f>
        <v>4894298.015010654</v>
      </c>
      <c r="F18" s="65">
        <f t="shared" ref="F18:N18" si="4">F16-F17</f>
        <v>4905577.9059864609</v>
      </c>
      <c r="G18" s="65">
        <f t="shared" si="4"/>
        <v>4917760.1882403325</v>
      </c>
      <c r="H18" s="65">
        <f t="shared" si="4"/>
        <v>4930917.0530745136</v>
      </c>
      <c r="I18" s="65">
        <f t="shared" si="4"/>
        <v>4945126.4670954291</v>
      </c>
      <c r="J18" s="65">
        <f t="shared" si="4"/>
        <v>4960472.6342380177</v>
      </c>
      <c r="K18" s="65">
        <f t="shared" si="4"/>
        <v>4977046.4947520141</v>
      </c>
      <c r="L18" s="65">
        <f t="shared" si="4"/>
        <v>4994946.2641071295</v>
      </c>
      <c r="M18" s="65">
        <f t="shared" si="4"/>
        <v>5014278.015010654</v>
      </c>
      <c r="N18" s="65">
        <f t="shared" si="4"/>
        <v>5014278.015010654</v>
      </c>
      <c r="O18" s="2"/>
    </row>
    <row r="19" spans="2:15" x14ac:dyDescent="0.25">
      <c r="B19" s="10" t="s">
        <v>133</v>
      </c>
      <c r="C19" s="47" t="s">
        <v>127</v>
      </c>
      <c r="D19" s="43"/>
      <c r="E19" s="43">
        <f>E14</f>
        <v>280000</v>
      </c>
      <c r="F19" s="43">
        <f t="shared" ref="F19:N19" si="5">F14</f>
        <v>280000</v>
      </c>
      <c r="G19" s="43">
        <f t="shared" si="5"/>
        <v>280000</v>
      </c>
      <c r="H19" s="43">
        <f t="shared" si="5"/>
        <v>280000</v>
      </c>
      <c r="I19" s="43">
        <f t="shared" si="5"/>
        <v>280000</v>
      </c>
      <c r="J19" s="43">
        <f t="shared" si="5"/>
        <v>280000</v>
      </c>
      <c r="K19" s="43">
        <f t="shared" si="5"/>
        <v>280000</v>
      </c>
      <c r="L19" s="43">
        <f t="shared" si="5"/>
        <v>280000</v>
      </c>
      <c r="M19" s="43">
        <f t="shared" si="5"/>
        <v>280000</v>
      </c>
      <c r="N19" s="43">
        <f t="shared" si="5"/>
        <v>280000</v>
      </c>
      <c r="O19" s="2"/>
    </row>
    <row r="20" spans="2:15" x14ac:dyDescent="0.25">
      <c r="B20" s="10" t="s">
        <v>134</v>
      </c>
      <c r="C20" s="47" t="s">
        <v>136</v>
      </c>
      <c r="D20" s="43"/>
      <c r="E20" s="43">
        <f t="array" ref="E20:N20">TRANSPOSE(Inversiones!L7:L16)</f>
        <v>201426.62456797896</v>
      </c>
      <c r="F20" s="43">
        <v>217540.75453341726</v>
      </c>
      <c r="G20" s="43">
        <v>234944.01489609067</v>
      </c>
      <c r="H20" s="43">
        <v>253739.5360877779</v>
      </c>
      <c r="I20" s="43">
        <v>274038.69897480012</v>
      </c>
      <c r="J20" s="43">
        <v>295961.79489278415</v>
      </c>
      <c r="K20" s="43">
        <v>319638.7384842069</v>
      </c>
      <c r="L20" s="43">
        <v>345209.83756294346</v>
      </c>
      <c r="M20" s="43" t="str">
        <v/>
      </c>
      <c r="N20" s="43" t="str">
        <v/>
      </c>
      <c r="O20" s="2"/>
    </row>
    <row r="21" spans="2:15" x14ac:dyDescent="0.25">
      <c r="B21" s="10" t="s">
        <v>134</v>
      </c>
      <c r="C21" s="47" t="s">
        <v>151</v>
      </c>
      <c r="D21" s="43">
        <f>SUM(D22:D23)*D71</f>
        <v>4285000</v>
      </c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2"/>
    </row>
    <row r="22" spans="2:15" x14ac:dyDescent="0.25">
      <c r="B22" s="10"/>
      <c r="C22" s="2" t="s">
        <v>103</v>
      </c>
      <c r="D22" s="43">
        <f>Inversiones!E11</f>
        <v>4200000</v>
      </c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2"/>
    </row>
    <row r="23" spans="2:15" x14ac:dyDescent="0.25">
      <c r="B23" s="10"/>
      <c r="C23" s="2" t="s">
        <v>104</v>
      </c>
      <c r="D23" s="43">
        <f>Inversiones!E18</f>
        <v>85000</v>
      </c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2"/>
    </row>
    <row r="24" spans="2:15" x14ac:dyDescent="0.25">
      <c r="B24" s="10"/>
      <c r="C24" s="2" t="s">
        <v>181</v>
      </c>
      <c r="D24" s="43">
        <v>100000</v>
      </c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2"/>
    </row>
    <row r="25" spans="2:15" x14ac:dyDescent="0.25">
      <c r="B25" s="10" t="s">
        <v>133</v>
      </c>
      <c r="C25" s="2" t="s">
        <v>114</v>
      </c>
      <c r="D25" s="43">
        <f>Inversiones!$N$6</f>
        <v>2142500</v>
      </c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2"/>
    </row>
    <row r="26" spans="2:15" x14ac:dyDescent="0.25">
      <c r="B26" s="10" t="s">
        <v>133</v>
      </c>
      <c r="C26" s="2" t="s">
        <v>137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>
        <f>Inversiones!$L$30</f>
        <v>1400000</v>
      </c>
      <c r="O26" s="2"/>
    </row>
    <row r="27" spans="2:15" x14ac:dyDescent="0.25">
      <c r="B27" s="10" t="s">
        <v>133</v>
      </c>
      <c r="C27" s="2" t="s">
        <v>138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>
        <f>$D$23</f>
        <v>85000</v>
      </c>
      <c r="O27" s="2"/>
    </row>
    <row r="28" spans="2:15" x14ac:dyDescent="0.25">
      <c r="B28" s="61" t="s">
        <v>135</v>
      </c>
      <c r="C28" s="36" t="s">
        <v>47</v>
      </c>
      <c r="D28" s="65">
        <f>IF(D20&lt;&gt;"",D18+D19-D20-D21+D25+D26+D27,D18+D19-D21+D25+D26+D27+D24)</f>
        <v>-2042500</v>
      </c>
      <c r="E28" s="65">
        <f t="shared" ref="E28:N28" si="6">IF(E20&lt;&gt;"",E18+E19-E20-E21+E25+E26+E27,E18+E19-E21+E25+E26+E27)</f>
        <v>4972871.390442675</v>
      </c>
      <c r="F28" s="65">
        <f t="shared" si="6"/>
        <v>4968037.1514530433</v>
      </c>
      <c r="G28" s="65">
        <f t="shared" si="6"/>
        <v>4962816.1733442415</v>
      </c>
      <c r="H28" s="65">
        <f t="shared" si="6"/>
        <v>4957177.5169867361</v>
      </c>
      <c r="I28" s="65">
        <f t="shared" si="6"/>
        <v>4951087.7681206288</v>
      </c>
      <c r="J28" s="65">
        <f t="shared" si="6"/>
        <v>4944510.8393452335</v>
      </c>
      <c r="K28" s="65">
        <f t="shared" si="6"/>
        <v>4937407.7562678074</v>
      </c>
      <c r="L28" s="65">
        <f t="shared" si="6"/>
        <v>4929736.4265441857</v>
      </c>
      <c r="M28" s="65">
        <f t="shared" si="6"/>
        <v>5294278.015010654</v>
      </c>
      <c r="N28" s="65">
        <f t="shared" si="6"/>
        <v>6779278.015010654</v>
      </c>
      <c r="O28" s="2"/>
    </row>
    <row r="29" spans="2:15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2:15" x14ac:dyDescent="0.25">
      <c r="B30" s="2"/>
      <c r="C30" s="2" t="s">
        <v>48</v>
      </c>
      <c r="D30" s="38">
        <f>D64</f>
        <v>0.09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2:15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2:15" x14ac:dyDescent="0.25">
      <c r="B32" s="2"/>
      <c r="C32" s="3" t="s">
        <v>49</v>
      </c>
      <c r="D32" s="40">
        <f>NPV(D30,E28:N28)+D28</f>
        <v>30687649.167655475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2:15" x14ac:dyDescent="0.25">
      <c r="B33" s="2"/>
      <c r="C33" s="3" t="s">
        <v>50</v>
      </c>
      <c r="D33" s="64">
        <f>IRR(D28:N28)</f>
        <v>2.4336987101681471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2:15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2:15" x14ac:dyDescent="0.25">
      <c r="B35" s="2"/>
      <c r="C35" s="70" t="s">
        <v>164</v>
      </c>
      <c r="D35" s="71">
        <f>+D32-D28</f>
        <v>32730149.167655475</v>
      </c>
    </row>
    <row r="36" spans="2:15" x14ac:dyDescent="0.25">
      <c r="B36" s="2"/>
      <c r="C36" s="2"/>
      <c r="D36" s="2"/>
    </row>
    <row r="37" spans="2:15" s="25" customFormat="1" x14ac:dyDescent="0.25"/>
    <row r="38" spans="2:15" x14ac:dyDescent="0.25">
      <c r="B38" s="112" t="s">
        <v>153</v>
      </c>
      <c r="C38" s="112"/>
      <c r="D38" s="112"/>
      <c r="E38" s="112"/>
      <c r="F38" s="112"/>
    </row>
    <row r="39" spans="2:15" x14ac:dyDescent="0.25">
      <c r="B39" s="112"/>
      <c r="C39" s="112"/>
      <c r="D39" s="112"/>
      <c r="E39" s="112"/>
      <c r="F39" s="112"/>
    </row>
    <row r="40" spans="2:15" x14ac:dyDescent="0.25">
      <c r="B40" s="112"/>
      <c r="C40" s="112"/>
      <c r="D40" s="112"/>
      <c r="E40" s="112"/>
      <c r="F40" s="112"/>
    </row>
    <row r="41" spans="2:15" x14ac:dyDescent="0.25">
      <c r="B41" s="112"/>
      <c r="C41" s="112"/>
      <c r="D41" s="112"/>
      <c r="E41" s="112"/>
      <c r="F41" s="112"/>
    </row>
    <row r="42" spans="2:15" x14ac:dyDescent="0.25">
      <c r="B42" s="112"/>
      <c r="C42" s="112"/>
      <c r="D42" s="112"/>
      <c r="E42" s="112"/>
      <c r="F42" s="112"/>
    </row>
    <row r="43" spans="2:15" x14ac:dyDescent="0.25">
      <c r="B43" s="2"/>
      <c r="C43" s="2" t="s">
        <v>43</v>
      </c>
      <c r="D43" s="52">
        <v>49.341812437848937</v>
      </c>
      <c r="E43" s="2" t="s">
        <v>44</v>
      </c>
      <c r="F43" s="2"/>
    </row>
    <row r="44" spans="2:15" x14ac:dyDescent="0.25">
      <c r="B44" s="2"/>
      <c r="C44" s="2" t="s">
        <v>45</v>
      </c>
      <c r="D44" s="2">
        <f>D43/1000</f>
        <v>4.9341812437848936E-2</v>
      </c>
      <c r="E44" s="2" t="s">
        <v>91</v>
      </c>
      <c r="F44" s="2"/>
    </row>
    <row r="45" spans="2:15" x14ac:dyDescent="0.25">
      <c r="B45" s="2"/>
      <c r="C45" s="2"/>
      <c r="D45" s="2"/>
      <c r="E45" s="2"/>
      <c r="F45" s="2"/>
    </row>
    <row r="46" spans="2:15" x14ac:dyDescent="0.25">
      <c r="B46" s="2"/>
      <c r="C46" s="2" t="s">
        <v>154</v>
      </c>
      <c r="D46" s="48">
        <f>(D44-SINP!E8)/SINP!E8</f>
        <v>-0.92204275217411447</v>
      </c>
      <c r="E46" s="2"/>
      <c r="F46" s="2"/>
    </row>
    <row r="47" spans="2:15" x14ac:dyDescent="0.25">
      <c r="B47" s="2"/>
      <c r="C47" s="2" t="s">
        <v>155</v>
      </c>
      <c r="D47" s="6">
        <v>-1.23</v>
      </c>
      <c r="E47" s="2"/>
      <c r="F47" s="2"/>
    </row>
    <row r="48" spans="2:15" x14ac:dyDescent="0.25">
      <c r="B48" s="2"/>
      <c r="C48" s="2" t="s">
        <v>156</v>
      </c>
      <c r="D48" s="66">
        <f>D46*D47</f>
        <v>1.1341125851741607</v>
      </c>
      <c r="E48" s="2"/>
      <c r="F48" s="2"/>
    </row>
    <row r="49" spans="2:6" x14ac:dyDescent="0.25">
      <c r="B49" s="2"/>
      <c r="C49" s="2" t="s">
        <v>62</v>
      </c>
      <c r="D49" s="2">
        <f>SINP!E4*(1+EFIN!D48)</f>
        <v>8963.2728577314756</v>
      </c>
      <c r="E49" s="2" t="s">
        <v>160</v>
      </c>
      <c r="F49" s="2"/>
    </row>
    <row r="50" spans="2:6" x14ac:dyDescent="0.25">
      <c r="B50" s="2"/>
      <c r="C50" s="2"/>
      <c r="D50" s="2"/>
      <c r="E50" s="2"/>
      <c r="F50" s="2"/>
    </row>
    <row r="51" spans="2:6" x14ac:dyDescent="0.25">
      <c r="B51" s="2"/>
      <c r="C51" s="2" t="s">
        <v>51</v>
      </c>
      <c r="D51" s="51">
        <f>D49/1000*D43</f>
        <v>442.26412817544866</v>
      </c>
      <c r="E51" s="2" t="s">
        <v>52</v>
      </c>
      <c r="F51" s="2"/>
    </row>
    <row r="52" spans="2:6" x14ac:dyDescent="0.25">
      <c r="B52" s="2"/>
      <c r="C52" s="2"/>
      <c r="D52" s="2"/>
      <c r="E52" s="2"/>
      <c r="F52" s="2"/>
    </row>
    <row r="53" spans="2:6" s="25" customFormat="1" x14ac:dyDescent="0.25"/>
    <row r="54" spans="2:6" s="24" customFormat="1" x14ac:dyDescent="0.25"/>
    <row r="55" spans="2:6" x14ac:dyDescent="0.25">
      <c r="B55" s="2"/>
      <c r="C55" s="2" t="s">
        <v>126</v>
      </c>
      <c r="D55" s="20">
        <v>0.3</v>
      </c>
      <c r="E55" s="2"/>
      <c r="F55" s="2"/>
    </row>
    <row r="57" spans="2:6" s="25" customFormat="1" x14ac:dyDescent="0.25"/>
    <row r="59" spans="2:6" x14ac:dyDescent="0.25">
      <c r="B59" s="2"/>
      <c r="C59" s="5" t="s">
        <v>140</v>
      </c>
      <c r="D59" s="2"/>
      <c r="E59" s="2"/>
      <c r="F59" s="2"/>
    </row>
    <row r="60" spans="2:6" x14ac:dyDescent="0.25">
      <c r="B60" s="2"/>
      <c r="C60" s="13" t="s">
        <v>146</v>
      </c>
      <c r="D60" s="13" t="s">
        <v>143</v>
      </c>
      <c r="E60" s="13" t="s">
        <v>144</v>
      </c>
      <c r="F60" s="2"/>
    </row>
    <row r="61" spans="2:6" x14ac:dyDescent="0.25">
      <c r="B61" s="2"/>
      <c r="C61" s="2" t="s">
        <v>141</v>
      </c>
      <c r="D61" s="39">
        <f>Inversiones!E27</f>
        <v>0.5</v>
      </c>
      <c r="E61" s="39">
        <f>Inversiones!E29</f>
        <v>0.08</v>
      </c>
      <c r="F61" s="2"/>
    </row>
    <row r="62" spans="2:6" x14ac:dyDescent="0.25">
      <c r="B62" s="2"/>
      <c r="C62" s="2" t="s">
        <v>142</v>
      </c>
      <c r="D62" s="39">
        <f>1-D61</f>
        <v>0.5</v>
      </c>
      <c r="E62" s="39">
        <v>0.1</v>
      </c>
      <c r="F62" s="2"/>
    </row>
    <row r="63" spans="2:6" x14ac:dyDescent="0.25">
      <c r="B63" s="2"/>
      <c r="C63" s="2"/>
      <c r="D63" s="2"/>
      <c r="E63" s="2"/>
      <c r="F63" s="2"/>
    </row>
    <row r="64" spans="2:6" x14ac:dyDescent="0.25">
      <c r="B64" s="2"/>
      <c r="C64" s="2" t="s">
        <v>147</v>
      </c>
      <c r="D64" s="48">
        <f>SUMPRODUCT(D61:D62,E61:E62)</f>
        <v>0.09</v>
      </c>
      <c r="E64" s="2"/>
      <c r="F64" s="2"/>
    </row>
    <row r="65" spans="2:7" x14ac:dyDescent="0.25">
      <c r="B65" s="2"/>
      <c r="C65" s="2"/>
      <c r="D65" s="2"/>
      <c r="E65" s="2"/>
      <c r="F65" s="2"/>
    </row>
    <row r="67" spans="2:7" s="25" customFormat="1" x14ac:dyDescent="0.25">
      <c r="E67" s="67"/>
    </row>
    <row r="69" spans="2:7" x14ac:dyDescent="0.25">
      <c r="E69" s="19"/>
      <c r="F69" s="19"/>
      <c r="G69" s="19"/>
    </row>
    <row r="70" spans="2:7" x14ac:dyDescent="0.25">
      <c r="C70" t="s">
        <v>161</v>
      </c>
      <c r="D70" s="54" t="s">
        <v>162</v>
      </c>
      <c r="E70" s="16"/>
      <c r="F70" s="16"/>
      <c r="G70" s="16"/>
    </row>
    <row r="71" spans="2:7" x14ac:dyDescent="0.25">
      <c r="C71" s="19" t="s">
        <v>35</v>
      </c>
      <c r="D71" s="68">
        <v>1</v>
      </c>
      <c r="E71" s="15"/>
      <c r="F71" s="15"/>
      <c r="G71" s="15"/>
    </row>
    <row r="72" spans="2:7" x14ac:dyDescent="0.25">
      <c r="C72" s="19" t="s">
        <v>46</v>
      </c>
      <c r="D72" s="68">
        <v>1</v>
      </c>
      <c r="E72" s="15"/>
      <c r="F72" s="15"/>
      <c r="G72" s="15"/>
    </row>
    <row r="73" spans="2:7" x14ac:dyDescent="0.25">
      <c r="C73" s="19"/>
      <c r="D73" s="16"/>
      <c r="E73" s="15"/>
      <c r="F73" s="15"/>
      <c r="G73" s="15"/>
    </row>
  </sheetData>
  <mergeCells count="2">
    <mergeCell ref="B4:I6"/>
    <mergeCell ref="B38:F4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50"/>
  <sheetViews>
    <sheetView showGridLines="0" zoomScale="70" zoomScaleNormal="70" workbookViewId="0">
      <selection activeCell="G12" sqref="G12"/>
    </sheetView>
  </sheetViews>
  <sheetFormatPr baseColWidth="10" defaultRowHeight="15" x14ac:dyDescent="0.25"/>
  <cols>
    <col min="1" max="1" width="5" customWidth="1"/>
    <col min="2" max="2" width="4.7109375" customWidth="1"/>
    <col min="3" max="3" width="32.28515625" customWidth="1"/>
    <col min="4" max="4" width="18.85546875" customWidth="1"/>
    <col min="5" max="5" width="19" customWidth="1"/>
    <col min="6" max="6" width="16.140625" customWidth="1"/>
    <col min="7" max="7" width="16.42578125" customWidth="1"/>
    <col min="8" max="8" width="15.42578125" customWidth="1"/>
    <col min="9" max="9" width="16.85546875" customWidth="1"/>
    <col min="10" max="10" width="14.5703125" customWidth="1"/>
    <col min="11" max="14" width="13.5703125" bestFit="1" customWidth="1"/>
    <col min="16" max="16" width="3.140625" style="25" customWidth="1"/>
  </cols>
  <sheetData>
    <row r="3" spans="2:15" ht="21" x14ac:dyDescent="0.35">
      <c r="B3" s="46" t="s">
        <v>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2:15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2:15" x14ac:dyDescent="0.25">
      <c r="B5" s="113" t="s">
        <v>53</v>
      </c>
      <c r="C5" s="113"/>
      <c r="D5" s="113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2:15" x14ac:dyDescent="0.2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2:15" x14ac:dyDescent="0.25">
      <c r="B7" s="113" t="s">
        <v>54</v>
      </c>
      <c r="C7" s="113"/>
      <c r="D7" s="113"/>
      <c r="E7" s="113"/>
      <c r="F7" s="113"/>
      <c r="G7" s="113"/>
      <c r="H7" s="113"/>
      <c r="I7" s="113"/>
      <c r="J7" s="113"/>
      <c r="K7" s="2"/>
      <c r="L7" s="2"/>
      <c r="M7" s="2"/>
      <c r="N7" s="2"/>
      <c r="O7" s="2"/>
    </row>
    <row r="8" spans="2:15" x14ac:dyDescent="0.25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2:15" x14ac:dyDescent="0.25">
      <c r="B9" s="2"/>
      <c r="C9" s="2" t="s">
        <v>55</v>
      </c>
      <c r="D9" s="2"/>
      <c r="E9" s="2">
        <f>SINP!E4</f>
        <v>4200</v>
      </c>
      <c r="F9" s="2" t="s">
        <v>57</v>
      </c>
      <c r="G9" s="2"/>
      <c r="H9" s="2"/>
      <c r="I9" s="2"/>
      <c r="J9" s="2"/>
      <c r="K9" s="2"/>
      <c r="L9" s="2"/>
      <c r="M9" s="2"/>
      <c r="N9" s="2"/>
      <c r="O9" s="2"/>
    </row>
    <row r="10" spans="2:15" x14ac:dyDescent="0.25">
      <c r="B10" s="2"/>
      <c r="C10" s="2" t="s">
        <v>56</v>
      </c>
      <c r="D10" s="2"/>
      <c r="E10" s="4">
        <f>SINP!$E$8</f>
        <v>0.63293425324675323</v>
      </c>
      <c r="F10" s="2" t="s">
        <v>58</v>
      </c>
      <c r="G10" s="2"/>
      <c r="H10" s="2"/>
      <c r="I10" s="2"/>
      <c r="J10" s="2"/>
      <c r="K10" s="2"/>
      <c r="L10" s="2"/>
      <c r="M10" s="2"/>
      <c r="N10" s="2"/>
      <c r="O10" s="2"/>
    </row>
    <row r="11" spans="2:15" ht="17.25" x14ac:dyDescent="0.25">
      <c r="B11" s="2"/>
      <c r="C11" s="2" t="s">
        <v>93</v>
      </c>
      <c r="D11" s="2"/>
      <c r="E11" s="49">
        <f>CONP!F23</f>
        <v>3.0381849315068493E-3</v>
      </c>
      <c r="F11" s="2" t="s">
        <v>58</v>
      </c>
      <c r="G11" s="2" t="s">
        <v>199</v>
      </c>
      <c r="H11" s="2"/>
      <c r="I11" s="2"/>
      <c r="J11" s="2"/>
      <c r="K11" s="2"/>
      <c r="L11" s="2"/>
      <c r="M11" s="2"/>
      <c r="N11" s="2"/>
      <c r="O11" s="2"/>
    </row>
    <row r="12" spans="2:15" x14ac:dyDescent="0.25">
      <c r="B12" s="2"/>
      <c r="C12" s="2"/>
      <c r="D12" s="2"/>
      <c r="E12" s="4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2:15" x14ac:dyDescent="0.25">
      <c r="B13" s="2"/>
      <c r="C13" s="5" t="s">
        <v>59</v>
      </c>
      <c r="D13" s="2"/>
      <c r="E13" s="50">
        <f>(E10-E11)*E9</f>
        <v>2645.5634869240348</v>
      </c>
      <c r="F13" s="2" t="s">
        <v>60</v>
      </c>
      <c r="G13" s="2"/>
      <c r="H13" s="2"/>
      <c r="I13" s="2"/>
      <c r="J13" s="2"/>
      <c r="K13" s="2"/>
      <c r="L13" s="2"/>
      <c r="M13" s="2"/>
      <c r="N13" s="2"/>
      <c r="O13" s="2"/>
    </row>
    <row r="14" spans="2:15" x14ac:dyDescent="0.25">
      <c r="B14" s="2"/>
      <c r="C14" s="2"/>
      <c r="D14" s="2"/>
      <c r="E14" s="55">
        <f>E13*12*Base!D2</f>
        <v>47620142.764632627</v>
      </c>
      <c r="F14" s="2" t="s">
        <v>148</v>
      </c>
      <c r="G14" s="2"/>
      <c r="H14" s="2"/>
      <c r="I14" s="2"/>
      <c r="J14" s="2"/>
      <c r="K14" s="2"/>
      <c r="L14" s="2"/>
      <c r="M14" s="2"/>
      <c r="N14" s="2"/>
      <c r="O14" s="2"/>
    </row>
    <row r="15" spans="2:15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2:15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2:15" x14ac:dyDescent="0.25">
      <c r="B17" s="113" t="s">
        <v>61</v>
      </c>
      <c r="C17" s="113"/>
      <c r="D17" s="113"/>
      <c r="E17" s="113"/>
      <c r="F17" s="113"/>
      <c r="G17" s="113"/>
      <c r="H17" s="113"/>
      <c r="I17" s="113"/>
      <c r="J17" s="113"/>
      <c r="K17" s="2"/>
      <c r="L17" s="2"/>
      <c r="M17" s="2"/>
      <c r="N17" s="2"/>
      <c r="O17" s="2"/>
    </row>
    <row r="18" spans="2:15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2:15" x14ac:dyDescent="0.25">
      <c r="B19" s="2"/>
      <c r="C19" s="2" t="s">
        <v>55</v>
      </c>
      <c r="D19" s="2"/>
      <c r="E19" s="44">
        <f>SINP!$E$3*30</f>
        <v>4200</v>
      </c>
      <c r="F19" s="2" t="s">
        <v>57</v>
      </c>
      <c r="G19" s="2"/>
      <c r="H19" s="2"/>
      <c r="I19" s="2"/>
      <c r="J19" s="2"/>
      <c r="K19" s="2"/>
      <c r="L19" s="2"/>
      <c r="M19" s="2"/>
      <c r="N19" s="2"/>
      <c r="O19" s="2"/>
    </row>
    <row r="20" spans="2:15" x14ac:dyDescent="0.25">
      <c r="B20" s="2"/>
      <c r="C20" s="2" t="s">
        <v>62</v>
      </c>
      <c r="D20" s="2"/>
      <c r="E20" s="44">
        <f>CONP!E11</f>
        <v>8963.2728577314756</v>
      </c>
      <c r="F20" s="2" t="s">
        <v>57</v>
      </c>
      <c r="G20" s="2"/>
      <c r="H20" s="2"/>
      <c r="I20" s="2"/>
      <c r="J20" s="2"/>
      <c r="K20" s="2"/>
      <c r="L20" s="2"/>
      <c r="M20" s="2"/>
      <c r="N20" s="2"/>
      <c r="O20" s="2"/>
    </row>
    <row r="21" spans="2:15" x14ac:dyDescent="0.25">
      <c r="B21" s="2"/>
      <c r="C21" s="5" t="s">
        <v>64</v>
      </c>
      <c r="D21" s="2"/>
      <c r="E21" s="56">
        <f>E20-E19</f>
        <v>4763.2728577314756</v>
      </c>
      <c r="F21" s="2" t="s">
        <v>57</v>
      </c>
      <c r="G21" s="2"/>
      <c r="H21" s="2"/>
      <c r="I21" s="2"/>
      <c r="J21" s="2"/>
      <c r="K21" s="2"/>
      <c r="L21" s="2"/>
      <c r="M21" s="2"/>
      <c r="N21" s="2"/>
      <c r="O21" s="2"/>
    </row>
    <row r="22" spans="2:15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2:15" x14ac:dyDescent="0.25">
      <c r="B23" s="2"/>
      <c r="C23" s="2" t="s">
        <v>56</v>
      </c>
      <c r="D23" s="2"/>
      <c r="E23" s="4">
        <f>SINP!$E$8</f>
        <v>0.63293425324675323</v>
      </c>
      <c r="F23" s="2" t="s">
        <v>58</v>
      </c>
      <c r="G23" s="2"/>
      <c r="H23" s="2"/>
      <c r="I23" s="2"/>
      <c r="J23" s="2"/>
      <c r="K23" s="2"/>
      <c r="L23" s="2"/>
      <c r="M23" s="2"/>
      <c r="N23" s="2"/>
      <c r="O23" s="2"/>
    </row>
    <row r="24" spans="2:15" x14ac:dyDescent="0.25">
      <c r="B24" s="2"/>
      <c r="C24" s="2" t="s">
        <v>65</v>
      </c>
      <c r="D24" s="2"/>
      <c r="E24" s="57">
        <f>CONP!F23</f>
        <v>3.0381849315068493E-3</v>
      </c>
      <c r="F24" s="2" t="s">
        <v>66</v>
      </c>
      <c r="G24" s="2"/>
      <c r="H24" s="2"/>
      <c r="I24" s="2"/>
      <c r="J24" s="2"/>
      <c r="K24" s="2"/>
      <c r="L24" s="2"/>
      <c r="M24" s="2"/>
      <c r="N24" s="2"/>
      <c r="O24" s="2"/>
    </row>
    <row r="25" spans="2:15" x14ac:dyDescent="0.25">
      <c r="B25" s="2"/>
      <c r="C25" s="2" t="s">
        <v>94</v>
      </c>
      <c r="D25" s="2"/>
      <c r="E25" s="57">
        <f>EFIN!D44</f>
        <v>4.9341812437848936E-2</v>
      </c>
      <c r="F25" s="2" t="s">
        <v>58</v>
      </c>
      <c r="G25" s="2"/>
      <c r="H25" s="2"/>
      <c r="I25" s="2"/>
      <c r="J25" s="2"/>
      <c r="K25" s="2"/>
      <c r="L25" s="2"/>
      <c r="M25" s="2"/>
      <c r="N25" s="2"/>
      <c r="O25" s="2"/>
    </row>
    <row r="26" spans="2:15" x14ac:dyDescent="0.25">
      <c r="B26" s="2"/>
      <c r="C26" s="5" t="s">
        <v>63</v>
      </c>
      <c r="D26" s="2"/>
      <c r="E26" s="4">
        <f>E21*((E23+E25)/2-E24)</f>
        <v>1610.4618287566261</v>
      </c>
      <c r="F26" s="2" t="s">
        <v>60</v>
      </c>
      <c r="G26" s="2"/>
      <c r="H26" s="2"/>
      <c r="I26" s="2"/>
      <c r="J26" s="2"/>
      <c r="K26" s="2"/>
      <c r="L26" s="2"/>
      <c r="M26" s="2"/>
      <c r="N26" s="2"/>
      <c r="O26" s="2"/>
    </row>
    <row r="27" spans="2:15" x14ac:dyDescent="0.25">
      <c r="B27" s="2"/>
      <c r="C27" s="2"/>
      <c r="D27" s="2"/>
      <c r="E27" s="58">
        <f>E26*Base!D2*12</f>
        <v>28988312.917619269</v>
      </c>
      <c r="F27" s="2" t="s">
        <v>148</v>
      </c>
      <c r="G27" s="2"/>
      <c r="H27" s="2"/>
      <c r="I27" s="2"/>
      <c r="J27" s="2"/>
      <c r="K27" s="2"/>
      <c r="L27" s="2"/>
      <c r="M27" s="2"/>
      <c r="N27" s="2"/>
      <c r="O27" s="2"/>
    </row>
    <row r="28" spans="2:15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2:15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2:15" x14ac:dyDescent="0.25">
      <c r="B30" s="2"/>
      <c r="C30" s="36"/>
      <c r="D30" s="60">
        <v>0</v>
      </c>
      <c r="E30" s="60">
        <v>1</v>
      </c>
      <c r="F30" s="60">
        <v>2</v>
      </c>
      <c r="G30" s="60">
        <v>3</v>
      </c>
      <c r="H30" s="60">
        <v>4</v>
      </c>
      <c r="I30" s="60">
        <v>5</v>
      </c>
      <c r="J30" s="60">
        <v>6</v>
      </c>
      <c r="K30" s="60">
        <v>7</v>
      </c>
      <c r="L30" s="60">
        <v>8</v>
      </c>
      <c r="M30" s="60">
        <v>9</v>
      </c>
      <c r="N30" s="60">
        <v>10</v>
      </c>
      <c r="O30" s="2"/>
    </row>
    <row r="31" spans="2:15" x14ac:dyDescent="0.25">
      <c r="B31" s="10"/>
      <c r="C31" s="2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"/>
    </row>
    <row r="32" spans="2:15" x14ac:dyDescent="0.25">
      <c r="B32" s="10" t="s">
        <v>133</v>
      </c>
      <c r="C32" s="5" t="s">
        <v>152</v>
      </c>
      <c r="D32" s="44"/>
      <c r="E32" s="44">
        <f t="shared" ref="E32:N32" si="0">SUM(E33:E34)</f>
        <v>76608455.6822519</v>
      </c>
      <c r="F32" s="44">
        <f t="shared" si="0"/>
        <v>76608455.6822519</v>
      </c>
      <c r="G32" s="44">
        <f t="shared" si="0"/>
        <v>76608455.6822519</v>
      </c>
      <c r="H32" s="44">
        <f t="shared" si="0"/>
        <v>76608455.6822519</v>
      </c>
      <c r="I32" s="44">
        <f t="shared" si="0"/>
        <v>76608455.6822519</v>
      </c>
      <c r="J32" s="44">
        <f t="shared" si="0"/>
        <v>76608455.6822519</v>
      </c>
      <c r="K32" s="44">
        <f t="shared" si="0"/>
        <v>76608455.6822519</v>
      </c>
      <c r="L32" s="44">
        <f t="shared" si="0"/>
        <v>76608455.6822519</v>
      </c>
      <c r="M32" s="44">
        <f t="shared" si="0"/>
        <v>76608455.6822519</v>
      </c>
      <c r="N32" s="44">
        <f t="shared" si="0"/>
        <v>76608455.6822519</v>
      </c>
      <c r="O32" s="2"/>
    </row>
    <row r="33" spans="2:15" x14ac:dyDescent="0.25">
      <c r="B33" s="10"/>
      <c r="C33" s="2" t="s">
        <v>67</v>
      </c>
      <c r="D33" s="44"/>
      <c r="E33" s="44">
        <f>$E$14</f>
        <v>47620142.764632627</v>
      </c>
      <c r="F33" s="44">
        <f t="shared" ref="F33:N33" si="1">$E$33</f>
        <v>47620142.764632627</v>
      </c>
      <c r="G33" s="44">
        <f t="shared" si="1"/>
        <v>47620142.764632627</v>
      </c>
      <c r="H33" s="44">
        <f t="shared" si="1"/>
        <v>47620142.764632627</v>
      </c>
      <c r="I33" s="44">
        <f t="shared" si="1"/>
        <v>47620142.764632627</v>
      </c>
      <c r="J33" s="44">
        <f t="shared" si="1"/>
        <v>47620142.764632627</v>
      </c>
      <c r="K33" s="44">
        <f t="shared" si="1"/>
        <v>47620142.764632627</v>
      </c>
      <c r="L33" s="44">
        <f t="shared" si="1"/>
        <v>47620142.764632627</v>
      </c>
      <c r="M33" s="44">
        <f t="shared" si="1"/>
        <v>47620142.764632627</v>
      </c>
      <c r="N33" s="44">
        <f t="shared" si="1"/>
        <v>47620142.764632627</v>
      </c>
      <c r="O33" s="2"/>
    </row>
    <row r="34" spans="2:15" x14ac:dyDescent="0.25">
      <c r="B34" s="10"/>
      <c r="C34" s="2" t="s">
        <v>68</v>
      </c>
      <c r="D34" s="44"/>
      <c r="E34" s="44">
        <f>E27</f>
        <v>28988312.917619269</v>
      </c>
      <c r="F34" s="44">
        <f t="shared" ref="F34:N34" si="2">$E$34</f>
        <v>28988312.917619269</v>
      </c>
      <c r="G34" s="44">
        <f t="shared" si="2"/>
        <v>28988312.917619269</v>
      </c>
      <c r="H34" s="44">
        <f t="shared" si="2"/>
        <v>28988312.917619269</v>
      </c>
      <c r="I34" s="44">
        <f t="shared" si="2"/>
        <v>28988312.917619269</v>
      </c>
      <c r="J34" s="44">
        <f t="shared" si="2"/>
        <v>28988312.917619269</v>
      </c>
      <c r="K34" s="44">
        <f t="shared" si="2"/>
        <v>28988312.917619269</v>
      </c>
      <c r="L34" s="44">
        <f t="shared" si="2"/>
        <v>28988312.917619269</v>
      </c>
      <c r="M34" s="44">
        <f t="shared" si="2"/>
        <v>28988312.917619269</v>
      </c>
      <c r="N34" s="44">
        <f t="shared" si="2"/>
        <v>28988312.917619269</v>
      </c>
      <c r="O34" s="2"/>
    </row>
    <row r="35" spans="2:15" x14ac:dyDescent="0.25">
      <c r="B35" s="10" t="s">
        <v>133</v>
      </c>
      <c r="C35" s="5" t="s">
        <v>150</v>
      </c>
      <c r="D35" s="44"/>
      <c r="E35" s="44">
        <f>Base!$D$21</f>
        <v>873846.15384615376</v>
      </c>
      <c r="F35" s="44">
        <f>Base!$D$21</f>
        <v>873846.15384615376</v>
      </c>
      <c r="G35" s="44">
        <f>Base!$D$21</f>
        <v>873846.15384615376</v>
      </c>
      <c r="H35" s="44">
        <f>Base!$D$21</f>
        <v>873846.15384615376</v>
      </c>
      <c r="I35" s="44">
        <f>Base!$D$21</f>
        <v>873846.15384615376</v>
      </c>
      <c r="J35" s="44">
        <f>Base!$D$21</f>
        <v>873846.15384615376</v>
      </c>
      <c r="K35" s="44">
        <f>Base!$D$21</f>
        <v>873846.15384615376</v>
      </c>
      <c r="L35" s="44">
        <f>Base!$D$21</f>
        <v>873846.15384615376</v>
      </c>
      <c r="M35" s="44">
        <f>Base!$D$21</f>
        <v>873846.15384615376</v>
      </c>
      <c r="N35" s="44">
        <f>Base!$D$21</f>
        <v>873846.15384615376</v>
      </c>
      <c r="O35" s="2"/>
    </row>
    <row r="36" spans="2:15" x14ac:dyDescent="0.25">
      <c r="B36" s="10" t="s">
        <v>134</v>
      </c>
      <c r="C36" s="5" t="s">
        <v>41</v>
      </c>
      <c r="D36" s="44"/>
      <c r="E36" s="44">
        <f>$D$39*CONP!$E$26</f>
        <v>76099.999999999985</v>
      </c>
      <c r="F36" s="44">
        <f>$D$39*CONP!$E$26</f>
        <v>76099.999999999985</v>
      </c>
      <c r="G36" s="44">
        <f>$D$39*CONP!$E$26</f>
        <v>76099.999999999985</v>
      </c>
      <c r="H36" s="44">
        <f>$D$39*CONP!$E$26</f>
        <v>76099.999999999985</v>
      </c>
      <c r="I36" s="44">
        <f>$D$39*CONP!$E$26</f>
        <v>76099.999999999985</v>
      </c>
      <c r="J36" s="44">
        <f>$D$39*CONP!$E$26</f>
        <v>76099.999999999985</v>
      </c>
      <c r="K36" s="44">
        <f>$D$39*CONP!$E$26</f>
        <v>76099.999999999985</v>
      </c>
      <c r="L36" s="44">
        <f>$D$39*CONP!$E$26</f>
        <v>76099.999999999985</v>
      </c>
      <c r="M36" s="44">
        <f>$D$39*CONP!$E$26</f>
        <v>76099.999999999985</v>
      </c>
      <c r="N36" s="44">
        <f>$D$39*CONP!$E$26</f>
        <v>76099.999999999985</v>
      </c>
      <c r="O36" s="2"/>
    </row>
    <row r="37" spans="2:15" x14ac:dyDescent="0.25">
      <c r="B37" s="10"/>
      <c r="C37" s="2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"/>
    </row>
    <row r="38" spans="2:15" x14ac:dyDescent="0.25">
      <c r="B38" s="10" t="s">
        <v>134</v>
      </c>
      <c r="C38" s="5" t="s">
        <v>151</v>
      </c>
      <c r="D38" s="59">
        <f>SUM(D39:D40)</f>
        <v>3867274.9999999995</v>
      </c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"/>
    </row>
    <row r="39" spans="2:15" x14ac:dyDescent="0.25">
      <c r="B39" s="10"/>
      <c r="C39" s="2" t="s">
        <v>103</v>
      </c>
      <c r="D39" s="11">
        <f>Inversiones!G11</f>
        <v>3804999.9999999995</v>
      </c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"/>
    </row>
    <row r="40" spans="2:15" x14ac:dyDescent="0.25">
      <c r="B40" s="10"/>
      <c r="C40" s="2" t="s">
        <v>104</v>
      </c>
      <c r="D40" s="11">
        <f>Inversiones!$G$18</f>
        <v>62275</v>
      </c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"/>
    </row>
    <row r="41" spans="2:15" x14ac:dyDescent="0.25">
      <c r="B41" s="2"/>
      <c r="C41" s="2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2"/>
    </row>
    <row r="42" spans="2:15" x14ac:dyDescent="0.25">
      <c r="B42" s="61" t="s">
        <v>135</v>
      </c>
      <c r="C42" s="62" t="s">
        <v>70</v>
      </c>
      <c r="D42" s="63">
        <f>D32+D35-D36-D38</f>
        <v>-3867274.9999999995</v>
      </c>
      <c r="E42" s="63">
        <f t="shared" ref="E42:N42" si="3">E32+E35-E36-E38</f>
        <v>77406201.83609806</v>
      </c>
      <c r="F42" s="63">
        <f t="shared" si="3"/>
        <v>77406201.83609806</v>
      </c>
      <c r="G42" s="63">
        <f t="shared" si="3"/>
        <v>77406201.83609806</v>
      </c>
      <c r="H42" s="63">
        <f t="shared" si="3"/>
        <v>77406201.83609806</v>
      </c>
      <c r="I42" s="63">
        <f t="shared" si="3"/>
        <v>77406201.83609806</v>
      </c>
      <c r="J42" s="63">
        <f t="shared" si="3"/>
        <v>77406201.83609806</v>
      </c>
      <c r="K42" s="63">
        <f t="shared" si="3"/>
        <v>77406201.83609806</v>
      </c>
      <c r="L42" s="63">
        <f t="shared" si="3"/>
        <v>77406201.83609806</v>
      </c>
      <c r="M42" s="63">
        <f t="shared" si="3"/>
        <v>77406201.83609806</v>
      </c>
      <c r="N42" s="63">
        <f t="shared" si="3"/>
        <v>77406201.83609806</v>
      </c>
      <c r="O42" s="2"/>
    </row>
    <row r="43" spans="2:15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2:15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2:15" x14ac:dyDescent="0.25">
      <c r="B45" s="2"/>
      <c r="C45" s="2" t="s">
        <v>71</v>
      </c>
      <c r="D45" s="20">
        <v>0.08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2:15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2:15" x14ac:dyDescent="0.25">
      <c r="B47" s="2"/>
      <c r="C47" s="3" t="s">
        <v>49</v>
      </c>
      <c r="D47" s="40">
        <f>NPV(D45,E42:N42)+D42</f>
        <v>515534640.10310841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2:15" x14ac:dyDescent="0.25">
      <c r="B48" s="2"/>
      <c r="C48" s="3" t="s">
        <v>50</v>
      </c>
      <c r="D48" s="64">
        <f>IRR(D42:N42)</f>
        <v>20.015696281255778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2:15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2:15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</sheetData>
  <mergeCells count="3">
    <mergeCell ref="B7:J7"/>
    <mergeCell ref="B17:J17"/>
    <mergeCell ref="B5:D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4"/>
  <sheetViews>
    <sheetView workbookViewId="0">
      <selection activeCell="B29" sqref="B29"/>
    </sheetView>
  </sheetViews>
  <sheetFormatPr baseColWidth="10" defaultRowHeight="15" x14ac:dyDescent="0.25"/>
  <cols>
    <col min="2" max="2" width="23.5703125" customWidth="1"/>
    <col min="3" max="3" width="14.140625" bestFit="1" customWidth="1"/>
    <col min="5" max="5" width="13.140625" bestFit="1" customWidth="1"/>
    <col min="6" max="6" width="13.5703125" customWidth="1"/>
    <col min="7" max="7" width="13.140625" bestFit="1" customWidth="1"/>
  </cols>
  <sheetData>
    <row r="2" spans="2:5" x14ac:dyDescent="0.25">
      <c r="B2" t="s">
        <v>183</v>
      </c>
      <c r="C2" s="19">
        <v>0.7</v>
      </c>
      <c r="D2">
        <v>1.0149999999999999</v>
      </c>
      <c r="E2">
        <f>+C2*D2</f>
        <v>0.71049999999999991</v>
      </c>
    </row>
    <row r="3" spans="2:5" x14ac:dyDescent="0.25">
      <c r="B3" t="s">
        <v>184</v>
      </c>
      <c r="C3" s="19">
        <v>0.25</v>
      </c>
      <c r="D3">
        <v>0.89</v>
      </c>
      <c r="E3">
        <f t="shared" ref="E3:E4" si="0">+C3*D3</f>
        <v>0.2225</v>
      </c>
    </row>
    <row r="4" spans="2:5" x14ac:dyDescent="0.25">
      <c r="B4" t="s">
        <v>185</v>
      </c>
      <c r="C4" s="19">
        <v>0.05</v>
      </c>
      <c r="D4">
        <v>0.59</v>
      </c>
      <c r="E4">
        <f t="shared" si="0"/>
        <v>2.9499999999999998E-2</v>
      </c>
    </row>
    <row r="5" spans="2:5" x14ac:dyDescent="0.25">
      <c r="E5">
        <f>+SUM(E2:E4)</f>
        <v>0.96249999999999991</v>
      </c>
    </row>
    <row r="7" spans="2:5" x14ac:dyDescent="0.25">
      <c r="B7" t="s">
        <v>35</v>
      </c>
      <c r="C7" s="15">
        <v>1000000</v>
      </c>
    </row>
    <row r="9" spans="2:5" x14ac:dyDescent="0.25">
      <c r="B9" t="s">
        <v>186</v>
      </c>
      <c r="C9" s="15">
        <f>+C7*E5</f>
        <v>962499.99999999988</v>
      </c>
    </row>
    <row r="12" spans="2:5" x14ac:dyDescent="0.25">
      <c r="B12" t="s">
        <v>35</v>
      </c>
      <c r="C12" s="15">
        <v>1500000</v>
      </c>
    </row>
    <row r="13" spans="2:5" x14ac:dyDescent="0.25">
      <c r="B13" t="s">
        <v>187</v>
      </c>
      <c r="C13" s="15">
        <f>+C12*D13</f>
        <v>225000</v>
      </c>
      <c r="D13" s="19">
        <v>0.15</v>
      </c>
    </row>
    <row r="14" spans="2:5" x14ac:dyDescent="0.25">
      <c r="B14" t="s">
        <v>188</v>
      </c>
      <c r="C14" s="15">
        <f>+C12*D14</f>
        <v>15000</v>
      </c>
      <c r="D14" s="19">
        <v>0.01</v>
      </c>
    </row>
    <row r="15" spans="2:5" x14ac:dyDescent="0.25">
      <c r="B15" t="s">
        <v>189</v>
      </c>
      <c r="C15" s="16">
        <f>+SUM(C12:C14)</f>
        <v>1740000</v>
      </c>
    </row>
    <row r="18" spans="2:7" x14ac:dyDescent="0.25">
      <c r="B18" s="15">
        <v>1500000</v>
      </c>
      <c r="C18" t="s">
        <v>192</v>
      </c>
      <c r="D18" t="s">
        <v>194</v>
      </c>
      <c r="E18" t="s">
        <v>191</v>
      </c>
      <c r="F18" t="s">
        <v>27</v>
      </c>
      <c r="G18" t="s">
        <v>195</v>
      </c>
    </row>
    <row r="19" spans="2:7" x14ac:dyDescent="0.25">
      <c r="B19" t="s">
        <v>190</v>
      </c>
      <c r="C19" s="15">
        <v>800000</v>
      </c>
      <c r="D19" s="16">
        <f>+C19/$B$18</f>
        <v>0.53333333333333333</v>
      </c>
      <c r="E19">
        <v>1.0149999999999999</v>
      </c>
      <c r="F19" s="16">
        <f>+E19*C19</f>
        <v>811999.99999999988</v>
      </c>
      <c r="G19" s="16">
        <f>+E19*D19</f>
        <v>0.54133333333333322</v>
      </c>
    </row>
    <row r="20" spans="2:7" x14ac:dyDescent="0.25">
      <c r="B20" t="s">
        <v>184</v>
      </c>
      <c r="C20" s="15">
        <v>500000</v>
      </c>
      <c r="D20" s="16">
        <f t="shared" ref="D20:D21" si="1">+C20/$B$18</f>
        <v>0.33333333333333331</v>
      </c>
      <c r="E20">
        <v>0.89</v>
      </c>
      <c r="F20" s="16">
        <f>+E20*C20</f>
        <v>445000</v>
      </c>
      <c r="G20" s="16">
        <f t="shared" ref="G20:G21" si="2">+E20*D20</f>
        <v>0.29666666666666663</v>
      </c>
    </row>
    <row r="21" spans="2:7" x14ac:dyDescent="0.25">
      <c r="B21" t="s">
        <v>185</v>
      </c>
      <c r="C21" s="15">
        <v>200000</v>
      </c>
      <c r="D21" s="16">
        <f t="shared" si="1"/>
        <v>0.13333333333333333</v>
      </c>
      <c r="E21">
        <v>0.59</v>
      </c>
      <c r="F21" s="16">
        <f>+E21*C21</f>
        <v>118000</v>
      </c>
      <c r="G21" s="16">
        <f t="shared" si="2"/>
        <v>7.8666666666666663E-2</v>
      </c>
    </row>
    <row r="22" spans="2:7" x14ac:dyDescent="0.25">
      <c r="F22" s="16">
        <f>+SUM(F19:F21)</f>
        <v>1375000</v>
      </c>
      <c r="G22" s="16">
        <f>+SUM(G19:G21)</f>
        <v>0.91666666666666652</v>
      </c>
    </row>
    <row r="23" spans="2:7" x14ac:dyDescent="0.25">
      <c r="B23" t="s">
        <v>193</v>
      </c>
      <c r="C23" s="16">
        <f>+F22/B18</f>
        <v>0.91666666666666663</v>
      </c>
    </row>
    <row r="24" spans="2:7" x14ac:dyDescent="0.25">
      <c r="G24" s="16">
        <f>+G22*B18</f>
        <v>1374999.9999999998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Demanda</vt:lpstr>
      <vt:lpstr>Base</vt:lpstr>
      <vt:lpstr>SINP</vt:lpstr>
      <vt:lpstr>Inversiones</vt:lpstr>
      <vt:lpstr>CONP</vt:lpstr>
      <vt:lpstr>Detalle Costos Producción</vt:lpstr>
      <vt:lpstr>EFIN</vt:lpstr>
      <vt:lpstr>ESOCIAL</vt:lpstr>
      <vt:lpstr>FC</vt:lpstr>
      <vt:lpstr>Elasticidad</vt:lpstr>
      <vt:lpstr>Costo medio abastecimiento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Vega</dc:creator>
  <cp:lastModifiedBy>Cristel López Calderón</cp:lastModifiedBy>
  <dcterms:created xsi:type="dcterms:W3CDTF">2012-08-08T15:58:43Z</dcterms:created>
  <dcterms:modified xsi:type="dcterms:W3CDTF">2017-04-20T20:01:00Z</dcterms:modified>
</cp:coreProperties>
</file>