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PREINVERSION\METODOLOGIAS\Seminario Perfiles Proyecto\Dia 3\"/>
    </mc:Choice>
  </mc:AlternateContent>
  <bookViews>
    <workbookView xWindow="0" yWindow="0" windowWidth="28800" windowHeight="12330" activeTab="1"/>
  </bookViews>
  <sheets>
    <sheet name="Base" sheetId="5" r:id="rId1"/>
    <sheet name="Proyección demanda " sheetId="6" r:id="rId2"/>
    <sheet name="Construcción de un centro" sheetId="2" r:id="rId3"/>
    <sheet name="Ejemplo" sheetId="1" state="hidden" r:id="rId4"/>
    <sheet name="Costo efectividad" sheetId="3" r:id="rId5"/>
  </sheets>
  <calcPr calcId="162913"/>
</workbook>
</file>

<file path=xl/calcChain.xml><?xml version="1.0" encoding="utf-8"?>
<calcChain xmlns="http://schemas.openxmlformats.org/spreadsheetml/2006/main">
  <c r="D27" i="3" l="1"/>
  <c r="H8" i="1"/>
  <c r="I3" i="6"/>
  <c r="C11" i="6"/>
  <c r="C18" i="6" s="1"/>
  <c r="F3" i="6" l="1"/>
  <c r="H3" i="6" s="1"/>
  <c r="E6" i="6"/>
  <c r="G6" i="6" s="1"/>
  <c r="I6" i="6" s="1"/>
  <c r="J4" i="5"/>
  <c r="J9" i="5"/>
  <c r="J5" i="5"/>
  <c r="I9" i="5"/>
  <c r="I5" i="5"/>
  <c r="H9" i="5"/>
  <c r="H8" i="5"/>
  <c r="C23" i="6" l="1"/>
  <c r="C32" i="6" s="1"/>
  <c r="D11" i="6"/>
  <c r="D32" i="6" s="1"/>
  <c r="O16" i="3"/>
  <c r="E11" i="6" l="1"/>
  <c r="E32" i="6" s="1"/>
  <c r="D18" i="6"/>
  <c r="D23" i="6" s="1"/>
  <c r="O33" i="3"/>
  <c r="P30" i="2"/>
  <c r="E22" i="2"/>
  <c r="E11" i="2"/>
  <c r="E8" i="2"/>
  <c r="F11" i="6" l="1"/>
  <c r="F32" i="6" s="1"/>
  <c r="E18" i="6"/>
  <c r="E23" i="6" s="1"/>
  <c r="H14" i="2"/>
  <c r="C12" i="1"/>
  <c r="C19" i="1" s="1"/>
  <c r="F18" i="6" l="1"/>
  <c r="F23" i="6" s="1"/>
  <c r="G11" i="6"/>
  <c r="G32" i="6" s="1"/>
  <c r="D12" i="1"/>
  <c r="C17" i="3"/>
  <c r="E16" i="3"/>
  <c r="E15" i="3"/>
  <c r="C8" i="3"/>
  <c r="C10" i="3" s="1"/>
  <c r="G18" i="6" l="1"/>
  <c r="G23" i="6" s="1"/>
  <c r="H11" i="6"/>
  <c r="H32" i="6" s="1"/>
  <c r="E17" i="3"/>
  <c r="M12" i="3" s="1"/>
  <c r="L5" i="3"/>
  <c r="L11" i="3"/>
  <c r="N11" i="3" s="1"/>
  <c r="L12" i="3"/>
  <c r="L6" i="3"/>
  <c r="L14" i="3"/>
  <c r="L7" i="3"/>
  <c r="L8" i="3"/>
  <c r="L9" i="3"/>
  <c r="L10" i="3"/>
  <c r="N10" i="3" s="1"/>
  <c r="L13" i="3"/>
  <c r="M11" i="3"/>
  <c r="K4" i="3"/>
  <c r="M10" i="3"/>
  <c r="M8" i="3"/>
  <c r="H18" i="6" l="1"/>
  <c r="H23" i="6" s="1"/>
  <c r="I11" i="6"/>
  <c r="I32" i="6" s="1"/>
  <c r="M9" i="3"/>
  <c r="M13" i="3"/>
  <c r="N13" i="3" s="1"/>
  <c r="M7" i="3"/>
  <c r="N7" i="3" s="1"/>
  <c r="M14" i="3"/>
  <c r="N14" i="3" s="1"/>
  <c r="M5" i="3"/>
  <c r="N5" i="3" s="1"/>
  <c r="M6" i="3"/>
  <c r="N6" i="3" s="1"/>
  <c r="N8" i="3"/>
  <c r="K9" i="3"/>
  <c r="N9" i="3" s="1"/>
  <c r="N4" i="3"/>
  <c r="N12" i="3"/>
  <c r="I18" i="6" l="1"/>
  <c r="I23" i="6" s="1"/>
  <c r="J11" i="6"/>
  <c r="J32" i="6" s="1"/>
  <c r="N15" i="3"/>
  <c r="O17" i="3" s="1"/>
  <c r="N56" i="2"/>
  <c r="P55" i="2"/>
  <c r="P54" i="2"/>
  <c r="P51" i="2"/>
  <c r="P50" i="2"/>
  <c r="E25" i="2"/>
  <c r="H28" i="2" s="1"/>
  <c r="E39" i="2" s="1"/>
  <c r="E44" i="2" s="1"/>
  <c r="N35" i="2"/>
  <c r="P31" i="2"/>
  <c r="P34" i="2"/>
  <c r="P33" i="2"/>
  <c r="J18" i="6" l="1"/>
  <c r="J23" i="6" s="1"/>
  <c r="E40" i="2"/>
  <c r="P56" i="2"/>
  <c r="D50" i="2" s="1"/>
  <c r="P35" i="2"/>
  <c r="N38" i="2" s="1"/>
  <c r="D33" i="1"/>
  <c r="C33" i="1"/>
  <c r="D19" i="1"/>
  <c r="B19" i="1"/>
  <c r="E12" i="1"/>
  <c r="F12" i="1" s="1"/>
  <c r="G12" i="1" s="1"/>
  <c r="H12" i="1" s="1"/>
  <c r="I12" i="1" s="1"/>
  <c r="I19" i="1" s="1"/>
  <c r="I24" i="1" s="1"/>
  <c r="E3" i="1"/>
  <c r="G3" i="1" s="1"/>
  <c r="C24" i="1" s="1"/>
  <c r="E7" i="1"/>
  <c r="G7" i="1" s="1"/>
  <c r="I7" i="1" s="1"/>
  <c r="B24" i="1" l="1"/>
  <c r="B33" i="1" s="1"/>
  <c r="D24" i="1"/>
  <c r="D58" i="2"/>
  <c r="G58" i="2" s="1"/>
  <c r="D52" i="2"/>
  <c r="K21" i="3"/>
  <c r="N21" i="3" s="1"/>
  <c r="I33" i="1"/>
  <c r="H33" i="1"/>
  <c r="H19" i="1"/>
  <c r="H24" i="1" s="1"/>
  <c r="G33" i="1"/>
  <c r="G19" i="1"/>
  <c r="G24" i="1" s="1"/>
  <c r="F33" i="1"/>
  <c r="F19" i="1"/>
  <c r="F24" i="1" s="1"/>
  <c r="E33" i="1"/>
  <c r="E19" i="1"/>
  <c r="E24" i="1" s="1"/>
  <c r="E46" i="2"/>
  <c r="E59" i="2" s="1"/>
  <c r="E60" i="2" s="1"/>
  <c r="L29" i="3" l="1"/>
  <c r="N29" i="3" s="1"/>
  <c r="L30" i="3"/>
  <c r="N30" i="3" s="1"/>
  <c r="L23" i="3"/>
  <c r="N23" i="3" s="1"/>
  <c r="N32" i="3" s="1"/>
  <c r="L31" i="3"/>
  <c r="N31" i="3" s="1"/>
  <c r="L24" i="3"/>
  <c r="N24" i="3" s="1"/>
  <c r="L22" i="3"/>
  <c r="N22" i="3" s="1"/>
  <c r="L25" i="3"/>
  <c r="N25" i="3" s="1"/>
  <c r="L26" i="3"/>
  <c r="N26" i="3" s="1"/>
  <c r="L27" i="3"/>
  <c r="N27" i="3" s="1"/>
  <c r="L28" i="3"/>
  <c r="N28" i="3" s="1"/>
  <c r="F67" i="2"/>
  <c r="F60" i="2"/>
  <c r="F68" i="2"/>
  <c r="F61" i="2"/>
  <c r="F59" i="2"/>
  <c r="G59" i="2" s="1"/>
  <c r="F62" i="2"/>
  <c r="F63" i="2"/>
  <c r="F64" i="2"/>
  <c r="F65" i="2"/>
  <c r="F66" i="2"/>
  <c r="O34" i="3" l="1"/>
  <c r="O36" i="3"/>
  <c r="E61" i="2"/>
  <c r="G60" i="2"/>
  <c r="E62" i="2" l="1"/>
  <c r="G61" i="2"/>
  <c r="E63" i="2" l="1"/>
  <c r="G62" i="2"/>
  <c r="E64" i="2" l="1"/>
  <c r="G63" i="2"/>
  <c r="E65" i="2" l="1"/>
  <c r="G64" i="2"/>
  <c r="E66" i="2" l="1"/>
  <c r="G65" i="2"/>
  <c r="E67" i="2" l="1"/>
  <c r="G66" i="2"/>
  <c r="E68" i="2" l="1"/>
  <c r="G68" i="2" s="1"/>
  <c r="G67" i="2"/>
  <c r="D72" i="2" l="1"/>
</calcChain>
</file>

<file path=xl/comments1.xml><?xml version="1.0" encoding="utf-8"?>
<comments xmlns="http://schemas.openxmlformats.org/spreadsheetml/2006/main">
  <authors>
    <author>Cristel López Calderón</author>
  </authors>
  <commentList>
    <comment ref="D3" authorId="0" shapeId="0">
      <text>
        <r>
          <rPr>
            <b/>
            <sz val="9"/>
            <color indexed="81"/>
            <rFont val="Tahoma"/>
            <family val="2"/>
          </rPr>
          <t>Cristel López Calderón:</t>
        </r>
        <r>
          <rPr>
            <sz val="9"/>
            <color indexed="81"/>
            <rFont val="Tahoma"/>
            <family val="2"/>
          </rPr>
          <t xml:space="preserve">
Mujeres edad fértil</t>
        </r>
      </text>
    </comment>
  </commentList>
</comments>
</file>

<file path=xl/sharedStrings.xml><?xml version="1.0" encoding="utf-8"?>
<sst xmlns="http://schemas.openxmlformats.org/spreadsheetml/2006/main" count="230" uniqueCount="152">
  <si>
    <t>Población demandante efectiva</t>
  </si>
  <si>
    <t>Demanda efectiva (atenciones)</t>
  </si>
  <si>
    <t>Concentración  (No. atenciones / No. atendidos)</t>
  </si>
  <si>
    <t>Atención recupera-tiva</t>
  </si>
  <si>
    <t>Población de referencia</t>
  </si>
  <si>
    <t>Población deman-dante potencial</t>
  </si>
  <si>
    <t>% que buscó atención</t>
  </si>
  <si>
    <t>Concen-tración (B/A)</t>
  </si>
  <si>
    <t>Consulta externa</t>
  </si>
  <si>
    <t>Atención Preventiva</t>
  </si>
  <si>
    <t>Población demandante potencial</t>
  </si>
  <si>
    <t>Tasa de fecundidad</t>
  </si>
  <si>
    <t>Población demandante efectiva: se multiplica la población potencial por el porcentaje de gestantes con control prenatal en la situación ´sin proyecto´</t>
  </si>
  <si>
    <t>Demanda efectiva: se multiplica la población demandante efectiva por la concentración ´sin proyecto´</t>
  </si>
  <si>
    <t xml:space="preserve">Si el proyecto pretende cambiar el comportamiento de la población demandante, es decir, lograr que las gestantes se realicen 6 en lugar de 4 controles prenatales o que vayan el 90% a controles en lugar del 86%; debe proyectarse la población demandante con proyecto. </t>
  </si>
  <si>
    <t xml:space="preserve">No. controles </t>
  </si>
  <si>
    <t>% busca atención</t>
  </si>
  <si>
    <t>Población demandante potencial: se proyecta con tasa de gestación</t>
  </si>
  <si>
    <t>Población demandante efectiva ´con proyecto´</t>
  </si>
  <si>
    <t>Salario</t>
  </si>
  <si>
    <t>Sin proyecto</t>
  </si>
  <si>
    <t xml:space="preserve">Las atenciones entregadas en el centro a esa población se cuenta en </t>
  </si>
  <si>
    <t>por año</t>
  </si>
  <si>
    <t>Córdobas</t>
  </si>
  <si>
    <t>El costo del tiempo de viaje es</t>
  </si>
  <si>
    <t xml:space="preserve">  Duración viaje</t>
  </si>
  <si>
    <t xml:space="preserve">  Valor económico de la hora</t>
  </si>
  <si>
    <t>horas ida y vuelta/persona</t>
  </si>
  <si>
    <t>Personas</t>
  </si>
  <si>
    <t xml:space="preserve"> Paciente más acompañante</t>
  </si>
  <si>
    <t>El costo de traslado por persona</t>
  </si>
  <si>
    <t>A</t>
  </si>
  <si>
    <t>B</t>
  </si>
  <si>
    <t>C</t>
  </si>
  <si>
    <t>D</t>
  </si>
  <si>
    <t>C1</t>
  </si>
  <si>
    <t>C2</t>
  </si>
  <si>
    <t>Tasa de crecimiento atenciones</t>
  </si>
  <si>
    <t>anual</t>
  </si>
  <si>
    <t>E</t>
  </si>
  <si>
    <t>Con Proyecto</t>
  </si>
  <si>
    <t>Población se traslada a Centro de Salud de otra comarca para recibir atenciones</t>
  </si>
  <si>
    <t>Beneficios Sociales del Proyecto</t>
  </si>
  <si>
    <t>El costo de entrega de los servicios de salud: materiales y recursos humanos es el mismo con y sin proyecto, por lo tanto ese costo no es relevante para las atenciones que son ofrecidas a la población demandante en la situación sin proyecto, ¿pero en la situación con proyecto son relevantes?</t>
  </si>
  <si>
    <t>A'</t>
  </si>
  <si>
    <t>B'</t>
  </si>
  <si>
    <t>C'</t>
  </si>
  <si>
    <t>C1'</t>
  </si>
  <si>
    <t>C2'</t>
  </si>
  <si>
    <t>D'</t>
  </si>
  <si>
    <t>F</t>
  </si>
  <si>
    <t>Costo por atención de salud</t>
  </si>
  <si>
    <t>Córdobas por atención</t>
  </si>
  <si>
    <t>Beneficio por Liberación de Recursos</t>
  </si>
  <si>
    <t>Construcción de un Centro de Salud</t>
  </si>
  <si>
    <t>Por atención</t>
  </si>
  <si>
    <t>Total</t>
  </si>
  <si>
    <t>Córdobas por año</t>
  </si>
  <si>
    <t>Beneficio por Más atenciones médicas</t>
  </si>
  <si>
    <t>Costos Sociales del Proyecto</t>
  </si>
  <si>
    <t>Inversión</t>
  </si>
  <si>
    <t>Mano de Obra</t>
  </si>
  <si>
    <t>Valor mercado</t>
  </si>
  <si>
    <t xml:space="preserve">  Calificada</t>
  </si>
  <si>
    <t xml:space="preserve">   No Calificada</t>
  </si>
  <si>
    <t>Factor de Conversión</t>
  </si>
  <si>
    <t>Valor Social</t>
  </si>
  <si>
    <t>Total atenciones</t>
  </si>
  <si>
    <t>Costo social por atención</t>
  </si>
  <si>
    <t>Materiales e insumos transables</t>
  </si>
  <si>
    <t>Materiales e insumos no transables</t>
  </si>
  <si>
    <t>Flujo Social</t>
  </si>
  <si>
    <t>Año</t>
  </si>
  <si>
    <t>Beneficio Social</t>
  </si>
  <si>
    <t>Beneficio total</t>
  </si>
  <si>
    <t>TSD</t>
  </si>
  <si>
    <t>VANS</t>
  </si>
  <si>
    <t>Costo de mantenimiento</t>
  </si>
  <si>
    <t>Costo del tiempo de espera</t>
  </si>
  <si>
    <t>D1</t>
  </si>
  <si>
    <t>Duración espera</t>
  </si>
  <si>
    <t>horas antes de ser atendido</t>
  </si>
  <si>
    <t>Costo total por traslado, tiempo de viaje, y tiempo de espera sin proyecto</t>
  </si>
  <si>
    <t>D1'</t>
  </si>
  <si>
    <t>E'</t>
  </si>
  <si>
    <t>Costo total por traslado, tiempo de viaje, y tiempo de espera con proyecto</t>
  </si>
  <si>
    <t>Costo atenciones médicas</t>
  </si>
  <si>
    <t>Inversiones</t>
  </si>
  <si>
    <t>Equipamiento</t>
  </si>
  <si>
    <t xml:space="preserve">  Como porcentaje de la inversión</t>
  </si>
  <si>
    <t>Mantenimiento</t>
  </si>
  <si>
    <t>Flujo</t>
  </si>
  <si>
    <t>Costo de vehículo</t>
  </si>
  <si>
    <t>Mercado</t>
  </si>
  <si>
    <t>Social</t>
  </si>
  <si>
    <t>Factor de corrección</t>
  </si>
  <si>
    <t>Costo mantenimiento</t>
  </si>
  <si>
    <t>Factor corrección</t>
  </si>
  <si>
    <t>Valor social</t>
  </si>
  <si>
    <t>Valor Mercado</t>
  </si>
  <si>
    <t>Materiales transables</t>
  </si>
  <si>
    <t>Rubros</t>
  </si>
  <si>
    <t>Costo mantenimiento anual</t>
  </si>
  <si>
    <t>Costo de operación anual</t>
  </si>
  <si>
    <t xml:space="preserve">En lugar de evaluar sólo construir el centro de salud se compara con establecer un recorrido diario que lleve y retorne a los pacientes. </t>
  </si>
  <si>
    <t>Alternativa: Recorrido</t>
  </si>
  <si>
    <t>Costo operación</t>
  </si>
  <si>
    <t>Costo total</t>
  </si>
  <si>
    <t>Atenciones</t>
  </si>
  <si>
    <t>VPC</t>
  </si>
  <si>
    <t>VPI</t>
  </si>
  <si>
    <t>ICE</t>
  </si>
  <si>
    <t>Alternativa: Construcción</t>
  </si>
  <si>
    <t>Atenciones (B)</t>
  </si>
  <si>
    <t>Población demandante efectiva (A)</t>
  </si>
  <si>
    <t>% morbilidad general</t>
  </si>
  <si>
    <t>General</t>
  </si>
  <si>
    <t>Mujeres</t>
  </si>
  <si>
    <t>Hombres</t>
  </si>
  <si>
    <t>Madriz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</si>
  <si>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</si>
  <si>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</si>
  <si>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</si>
  <si>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</si>
  <si>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</si>
  <si>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</si>
  <si>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</si>
  <si>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</si>
  <si>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</si>
  <si>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</si>
  <si>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</si>
  <si>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</si>
  <si>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</si>
  <si>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</si>
  <si>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</si>
  <si>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</si>
  <si>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 y +</t>
  </si>
  <si>
    <t xml:space="preserve">Demanda Efectiva </t>
  </si>
  <si>
    <t>Consulta Privada</t>
  </si>
  <si>
    <t>Mujeres Edad Fértil</t>
  </si>
  <si>
    <t>consulta</t>
  </si>
  <si>
    <t>Se construye Centro de Salud entre Telpaneca y Totogalpa, con lo cual se evita el traslado, pero además aumenta la cantidad de atenciones debido a que más personas van al Centro.</t>
  </si>
  <si>
    <t>Atención recuperativa</t>
  </si>
  <si>
    <t>Concentración (B/A)</t>
  </si>
  <si>
    <t>Demanda efectiva: se multiplica la población demandante efectiva por la concentración "sin proyecto"</t>
  </si>
  <si>
    <t>Población demandante efectiva "con proyecto"</t>
  </si>
  <si>
    <t>Población demandante efectiva: se multiplica la población potencial por el porcentaje que busca atención médica en el centro de salud en la situación "sin proyecto"</t>
  </si>
  <si>
    <t xml:space="preserve">No. Atenciones </t>
  </si>
  <si>
    <t>Consulta Externa</t>
  </si>
  <si>
    <t xml:space="preserve">General </t>
  </si>
  <si>
    <t xml:space="preserve">Si el proyecto pretende cambiar el comportamiento de la población demandante, es decir, lograr que las mujeres en edad fértil se realicen 3 en lugar de 1 control prenatal o que vayan el 90% a controles en lugar del 70%; debe proyectarse la población demandante con proyecto. </t>
  </si>
  <si>
    <t>Entonces: Pp = 162 x (1 + 0.03)20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</si>
</sst>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0.0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FFFF"/>
      <name val="Tw Cen MT"/>
      <family val="2"/>
    </font>
    <font>
      <sz val="18"/>
      <color rgb="FF000000"/>
      <name val="Tw Cen MT"/>
      <family val="2"/>
    </font>
    <font>
      <b/>
      <sz val="12"/>
      <color rgb="FFFFFFFF"/>
      <name val="Tw Cen MT"/>
      <family val="2"/>
    </font>
    <font>
      <sz val="14"/>
      <color rgb="FF000000"/>
      <name val="Tw Cen MT"/>
      <family val="2"/>
    </font>
    <font>
      <b/>
      <sz val="14"/>
      <color rgb="FFFFFFFF"/>
      <name val="Tw Cen MT"/>
      <family val="2"/>
    </font>
    <font>
      <b/>
      <sz val="12"/>
      <color rgb="FFFFFFFF"/>
      <name val="Tw Cen MT"/>
      <family val="2"/>
    </font>
    <font>
      <b/>
      <sz val="16"/>
      <color rgb="FFFFFFFF"/>
      <name val="Tw Cen MT"/>
      <family val="2"/>
    </font>
    <font>
      <i/>
      <sz val="11"/>
      <color theme="1"/>
      <name val="Calibri"/>
      <family val="2"/>
      <scheme val="minor"/>
    </font>
    <font>
      <sz val="12"/>
      <color rgb="FF000000"/>
      <name val="Tw Cen MT"/>
      <family val="2"/>
    </font>
    <font>
      <i/>
      <sz val="12"/>
      <color rgb="FF000000"/>
      <name val="Tw Cen MT"/>
      <family val="2"/>
    </font>
    <font>
      <b/>
      <sz val="11"/>
      <color theme="0"/>
      <name val="Tw Cen MT"/>
      <family val="2"/>
    </font>
    <font>
      <b/>
      <sz val="12"/>
      <color rgb="FF000000"/>
      <name val="Tw Cen MT"/>
      <family val="2"/>
    </font>
    <font>
      <b/>
      <sz val="11"/>
      <color rgb="FF0070C0"/>
      <name val="Tw Cen MT"/>
      <family val="2"/>
    </font>
    <font>
      <sz val="11"/>
      <color theme="1"/>
      <name val="Tw Cen MT"/>
      <family val="2"/>
    </font>
    <font>
      <b/>
      <sz val="14"/>
      <color theme="0"/>
      <name val="Tw Cen MT"/>
      <family val="2"/>
    </font>
    <font>
      <b/>
      <sz val="11"/>
      <color rgb="FF000000"/>
      <name val="Tw Cen MT"/>
      <family val="2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rgb="FFFFFFFF"/>
      <name val="Tahoma"/>
      <family val="2"/>
    </font>
    <font>
      <sz val="16"/>
      <color rgb="FF000000"/>
      <name val="Tahoma"/>
      <family val="2"/>
    </font>
    <font>
      <sz val="14"/>
      <color rgb="FF000000"/>
      <name val="Tahoma"/>
      <family val="2"/>
    </font>
    <font>
      <b/>
      <sz val="14"/>
      <color rgb="FF000000"/>
      <name val="Tahoma"/>
      <family val="2"/>
    </font>
    <font>
      <b/>
      <sz val="16"/>
      <color rgb="FF000000"/>
      <name val="Tahoma"/>
      <family val="2"/>
    </font>
    <font>
      <b/>
      <sz val="22"/>
      <color theme="3"/>
      <name val="Tw Cen MT"/>
      <family val="2"/>
    </font>
    <font>
      <b/>
      <sz val="16"/>
      <color theme="3"/>
      <name val="Tw Cen M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rgb="FF2DA2BF"/>
        <bgColor indexed="64"/>
      </patternFill>
    </fill>
    <fill>
      <patternFill patternType="solid">
        <fgColor rgb="FFCDE0E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medium">
        <color rgb="FFFFFFFF"/>
      </left>
      <right/>
      <top style="thick">
        <color rgb="FFFFFFFF"/>
      </top>
      <bottom/>
      <diagonal/>
    </border>
    <border>
      <left/>
      <right/>
      <top style="thick">
        <color rgb="FFFFFFFF"/>
      </top>
      <bottom/>
      <diagonal/>
    </border>
    <border>
      <left style="medium">
        <color rgb="FFFFFFFF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rgb="FFFFFFFF"/>
      </left>
      <right/>
      <top style="thick">
        <color rgb="FFFFFFFF"/>
      </top>
      <bottom style="medium">
        <color rgb="FFFFFFFF"/>
      </bottom>
      <diagonal/>
    </border>
    <border>
      <left style="thin">
        <color theme="0"/>
      </left>
      <right/>
      <top style="thick">
        <color rgb="FFFFFFFF"/>
      </top>
      <bottom style="thin">
        <color theme="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thin">
        <color theme="0"/>
      </right>
      <top style="thick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5" fillId="3" borderId="2" xfId="0" applyFont="1" applyFill="1" applyBorder="1" applyAlignment="1">
      <alignment horizontal="left" vertical="center" wrapText="1" readingOrder="1"/>
    </xf>
    <xf numFmtId="0" fontId="5" fillId="3" borderId="2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0" fontId="7" fillId="3" borderId="2" xfId="0" applyFont="1" applyFill="1" applyBorder="1" applyAlignment="1">
      <alignment horizontal="center" vertical="center" wrapText="1" readingOrder="1"/>
    </xf>
    <xf numFmtId="3" fontId="7" fillId="3" borderId="2" xfId="0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 readingOrder="1"/>
    </xf>
    <xf numFmtId="9" fontId="7" fillId="3" borderId="2" xfId="2" applyFont="1" applyFill="1" applyBorder="1" applyAlignment="1">
      <alignment horizontal="center" vertical="center" wrapText="1" readingOrder="1"/>
    </xf>
    <xf numFmtId="37" fontId="7" fillId="3" borderId="2" xfId="1" applyNumberFormat="1" applyFont="1" applyFill="1" applyBorder="1" applyAlignment="1">
      <alignment horizontal="center" wrapText="1" readingOrder="1"/>
    </xf>
    <xf numFmtId="0" fontId="5" fillId="4" borderId="2" xfId="0" applyFont="1" applyFill="1" applyBorder="1" applyAlignment="1">
      <alignment horizontal="center" vertical="center" wrapText="1" readingOrder="1"/>
    </xf>
    <xf numFmtId="0" fontId="0" fillId="5" borderId="0" xfId="0" applyFill="1"/>
    <xf numFmtId="0" fontId="0" fillId="4" borderId="0" xfId="0" applyFill="1"/>
    <xf numFmtId="0" fontId="11" fillId="5" borderId="0" xfId="0" applyFont="1" applyFill="1"/>
    <xf numFmtId="9" fontId="0" fillId="5" borderId="0" xfId="0" applyNumberFormat="1" applyFill="1"/>
    <xf numFmtId="0" fontId="12" fillId="3" borderId="5" xfId="0" applyFont="1" applyFill="1" applyBorder="1" applyAlignment="1">
      <alignment vertical="center" readingOrder="1"/>
    </xf>
    <xf numFmtId="0" fontId="12" fillId="3" borderId="6" xfId="0" applyFont="1" applyFill="1" applyBorder="1" applyAlignment="1">
      <alignment vertical="center" readingOrder="1"/>
    </xf>
    <xf numFmtId="0" fontId="12" fillId="5" borderId="6" xfId="0" applyFont="1" applyFill="1" applyBorder="1" applyAlignment="1">
      <alignment vertical="center" readingOrder="1"/>
    </xf>
    <xf numFmtId="0" fontId="13" fillId="3" borderId="5" xfId="0" applyFont="1" applyFill="1" applyBorder="1" applyAlignment="1">
      <alignment vertical="center" readingOrder="1"/>
    </xf>
    <xf numFmtId="0" fontId="0" fillId="0" borderId="0" xfId="0" applyFill="1"/>
    <xf numFmtId="9" fontId="0" fillId="0" borderId="0" xfId="0" applyNumberFormat="1" applyFill="1"/>
    <xf numFmtId="165" fontId="0" fillId="5" borderId="0" xfId="1" applyNumberFormat="1" applyFont="1" applyFill="1"/>
    <xf numFmtId="0" fontId="0" fillId="4" borderId="8" xfId="0" applyFill="1" applyBorder="1"/>
    <xf numFmtId="164" fontId="0" fillId="4" borderId="8" xfId="1" applyFont="1" applyFill="1" applyBorder="1"/>
    <xf numFmtId="0" fontId="14" fillId="9" borderId="15" xfId="0" applyFont="1" applyFill="1" applyBorder="1"/>
    <xf numFmtId="0" fontId="14" fillId="9" borderId="16" xfId="0" applyFont="1" applyFill="1" applyBorder="1"/>
    <xf numFmtId="164" fontId="14" fillId="9" borderId="16" xfId="1" applyFont="1" applyFill="1" applyBorder="1"/>
    <xf numFmtId="164" fontId="14" fillId="9" borderId="16" xfId="0" applyNumberFormat="1" applyFont="1" applyFill="1" applyBorder="1"/>
    <xf numFmtId="0" fontId="14" fillId="9" borderId="17" xfId="0" applyFont="1" applyFill="1" applyBorder="1"/>
    <xf numFmtId="164" fontId="14" fillId="9" borderId="17" xfId="0" applyNumberFormat="1" applyFont="1" applyFill="1" applyBorder="1"/>
    <xf numFmtId="0" fontId="14" fillId="7" borderId="17" xfId="0" applyFont="1" applyFill="1" applyBorder="1"/>
    <xf numFmtId="164" fontId="14" fillId="7" borderId="17" xfId="1" applyFont="1" applyFill="1" applyBorder="1"/>
    <xf numFmtId="0" fontId="15" fillId="3" borderId="5" xfId="0" applyFont="1" applyFill="1" applyBorder="1" applyAlignment="1">
      <alignment vertical="center" readingOrder="1"/>
    </xf>
    <xf numFmtId="164" fontId="15" fillId="3" borderId="5" xfId="1" applyFont="1" applyFill="1" applyBorder="1" applyAlignment="1">
      <alignment vertical="center" readingOrder="1"/>
    </xf>
    <xf numFmtId="164" fontId="15" fillId="5" borderId="5" xfId="1" applyFont="1" applyFill="1" applyBorder="1" applyAlignment="1">
      <alignment vertical="center" readingOrder="1"/>
    </xf>
    <xf numFmtId="164" fontId="16" fillId="5" borderId="16" xfId="1" applyFont="1" applyFill="1" applyBorder="1"/>
    <xf numFmtId="164" fontId="16" fillId="5" borderId="17" xfId="1" applyFont="1" applyFill="1" applyBorder="1"/>
    <xf numFmtId="0" fontId="17" fillId="0" borderId="0" xfId="0" applyFont="1"/>
    <xf numFmtId="0" fontId="14" fillId="9" borderId="14" xfId="0" applyFont="1" applyFill="1" applyBorder="1" applyAlignment="1">
      <alignment horizontal="center" vertical="center"/>
    </xf>
    <xf numFmtId="0" fontId="14" fillId="9" borderId="12" xfId="0" applyFont="1" applyFill="1" applyBorder="1"/>
    <xf numFmtId="0" fontId="14" fillId="9" borderId="18" xfId="0" applyFont="1" applyFill="1" applyBorder="1" applyAlignment="1">
      <alignment horizontal="center" vertical="center"/>
    </xf>
    <xf numFmtId="0" fontId="14" fillId="9" borderId="9" xfId="0" applyFont="1" applyFill="1" applyBorder="1"/>
    <xf numFmtId="164" fontId="14" fillId="9" borderId="19" xfId="0" applyNumberFormat="1" applyFont="1" applyFill="1" applyBorder="1"/>
    <xf numFmtId="164" fontId="14" fillId="9" borderId="19" xfId="1" applyFont="1" applyFill="1" applyBorder="1"/>
    <xf numFmtId="0" fontId="14" fillId="9" borderId="11" xfId="0" applyFont="1" applyFill="1" applyBorder="1" applyAlignment="1">
      <alignment horizontal="center" vertical="center"/>
    </xf>
    <xf numFmtId="164" fontId="14" fillId="9" borderId="10" xfId="1" applyFont="1" applyFill="1" applyBorder="1"/>
    <xf numFmtId="9" fontId="0" fillId="5" borderId="8" xfId="2" applyFont="1" applyFill="1" applyBorder="1"/>
    <xf numFmtId="0" fontId="13" fillId="3" borderId="7" xfId="0" applyFont="1" applyFill="1" applyBorder="1" applyAlignment="1">
      <alignment vertical="center" readingOrder="1"/>
    </xf>
    <xf numFmtId="0" fontId="12" fillId="0" borderId="7" xfId="0" applyFont="1" applyFill="1" applyBorder="1" applyAlignment="1">
      <alignment vertical="center" readingOrder="1"/>
    </xf>
    <xf numFmtId="0" fontId="12" fillId="3" borderId="20" xfId="0" applyFont="1" applyFill="1" applyBorder="1" applyAlignment="1">
      <alignment vertical="center" readingOrder="1"/>
    </xf>
    <xf numFmtId="0" fontId="12" fillId="3" borderId="2" xfId="0" applyFont="1" applyFill="1" applyBorder="1" applyAlignment="1">
      <alignment vertical="center" readingOrder="1"/>
    </xf>
    <xf numFmtId="0" fontId="19" fillId="3" borderId="5" xfId="0" applyFont="1" applyFill="1" applyBorder="1" applyAlignment="1">
      <alignment vertical="center" readingOrder="1"/>
    </xf>
    <xf numFmtId="0" fontId="14" fillId="7" borderId="18" xfId="0" applyFont="1" applyFill="1" applyBorder="1" applyAlignment="1">
      <alignment horizontal="center" vertical="center"/>
    </xf>
    <xf numFmtId="0" fontId="14" fillId="7" borderId="9" xfId="0" applyFont="1" applyFill="1" applyBorder="1" applyAlignment="1">
      <alignment horizontal="center" vertical="center"/>
    </xf>
    <xf numFmtId="0" fontId="14" fillId="7" borderId="19" xfId="0" applyFont="1" applyFill="1" applyBorder="1" applyAlignment="1">
      <alignment horizontal="center" vertical="center"/>
    </xf>
    <xf numFmtId="164" fontId="2" fillId="7" borderId="0" xfId="0" applyNumberFormat="1" applyFont="1" applyFill="1"/>
    <xf numFmtId="164" fontId="3" fillId="4" borderId="8" xfId="1" applyFont="1" applyFill="1" applyBorder="1"/>
    <xf numFmtId="164" fontId="3" fillId="5" borderId="19" xfId="1" applyFont="1" applyFill="1" applyBorder="1"/>
    <xf numFmtId="0" fontId="3" fillId="5" borderId="19" xfId="0" applyFont="1" applyFill="1" applyBorder="1"/>
    <xf numFmtId="164" fontId="0" fillId="4" borderId="19" xfId="1" applyFont="1" applyFill="1" applyBorder="1"/>
    <xf numFmtId="164" fontId="0" fillId="4" borderId="12" xfId="1" applyFont="1" applyFill="1" applyBorder="1"/>
    <xf numFmtId="0" fontId="15" fillId="3" borderId="2" xfId="0" applyFont="1" applyFill="1" applyBorder="1" applyAlignment="1">
      <alignment vertical="center" readingOrder="1"/>
    </xf>
    <xf numFmtId="0" fontId="15" fillId="3" borderId="20" xfId="0" applyFont="1" applyFill="1" applyBorder="1" applyAlignment="1">
      <alignment vertical="center" readingOrder="1"/>
    </xf>
    <xf numFmtId="0" fontId="12" fillId="3" borderId="22" xfId="0" applyFont="1" applyFill="1" applyBorder="1" applyAlignment="1">
      <alignment vertical="center" readingOrder="1"/>
    </xf>
    <xf numFmtId="164" fontId="0" fillId="5" borderId="22" xfId="1" applyFont="1" applyFill="1" applyBorder="1"/>
    <xf numFmtId="0" fontId="0" fillId="5" borderId="22" xfId="0" applyFill="1" applyBorder="1"/>
    <xf numFmtId="164" fontId="0" fillId="4" borderId="23" xfId="0" applyNumberFormat="1" applyFill="1" applyBorder="1"/>
    <xf numFmtId="0" fontId="12" fillId="3" borderId="24" xfId="0" applyFont="1" applyFill="1" applyBorder="1" applyAlignment="1">
      <alignment vertical="center" readingOrder="1"/>
    </xf>
    <xf numFmtId="164" fontId="0" fillId="5" borderId="24" xfId="1" applyFont="1" applyFill="1" applyBorder="1"/>
    <xf numFmtId="0" fontId="0" fillId="5" borderId="24" xfId="0" applyFill="1" applyBorder="1"/>
    <xf numFmtId="164" fontId="0" fillId="4" borderId="25" xfId="0" applyNumberFormat="1" applyFill="1" applyBorder="1"/>
    <xf numFmtId="0" fontId="12" fillId="0" borderId="21" xfId="0" applyFont="1" applyFill="1" applyBorder="1" applyAlignment="1">
      <alignment vertical="center" readingOrder="1"/>
    </xf>
    <xf numFmtId="0" fontId="15" fillId="3" borderId="6" xfId="0" applyFont="1" applyFill="1" applyBorder="1" applyAlignment="1">
      <alignment vertical="center" readingOrder="1"/>
    </xf>
    <xf numFmtId="0" fontId="0" fillId="10" borderId="0" xfId="0" applyFill="1"/>
    <xf numFmtId="0" fontId="0" fillId="11" borderId="0" xfId="0" applyFill="1"/>
    <xf numFmtId="0" fontId="2" fillId="11" borderId="0" xfId="0" applyFont="1" applyFill="1"/>
    <xf numFmtId="0" fontId="2" fillId="11" borderId="18" xfId="0" applyFont="1" applyFill="1" applyBorder="1"/>
    <xf numFmtId="164" fontId="2" fillId="11" borderId="9" xfId="0" applyNumberFormat="1" applyFont="1" applyFill="1" applyBorder="1"/>
    <xf numFmtId="0" fontId="2" fillId="11" borderId="9" xfId="0" applyFont="1" applyFill="1" applyBorder="1"/>
    <xf numFmtId="164" fontId="2" fillId="11" borderId="19" xfId="0" applyNumberFormat="1" applyFont="1" applyFill="1" applyBorder="1"/>
    <xf numFmtId="9" fontId="0" fillId="5" borderId="19" xfId="2" applyFont="1" applyFill="1" applyBorder="1"/>
    <xf numFmtId="0" fontId="8" fillId="0" borderId="0" xfId="0" applyFont="1" applyFill="1" applyBorder="1" applyAlignment="1">
      <alignment vertical="center" wrapText="1" readingOrder="1"/>
    </xf>
    <xf numFmtId="0" fontId="4" fillId="0" borderId="4" xfId="0" applyFont="1" applyFill="1" applyBorder="1" applyAlignment="1">
      <alignment vertical="center" wrapText="1" readingOrder="1"/>
    </xf>
    <xf numFmtId="0" fontId="15" fillId="0" borderId="6" xfId="0" applyFont="1" applyFill="1" applyBorder="1" applyAlignment="1">
      <alignment vertical="center" readingOrder="1"/>
    </xf>
    <xf numFmtId="0" fontId="2" fillId="6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top"/>
    </xf>
    <xf numFmtId="164" fontId="2" fillId="8" borderId="0" xfId="0" applyNumberFormat="1" applyFont="1" applyFill="1"/>
    <xf numFmtId="0" fontId="2" fillId="8" borderId="0" xfId="0" applyFont="1" applyFill="1"/>
    <xf numFmtId="0" fontId="2" fillId="10" borderId="0" xfId="0" applyFont="1" applyFill="1"/>
    <xf numFmtId="164" fontId="2" fillId="10" borderId="0" xfId="0" applyNumberFormat="1" applyFont="1" applyFill="1"/>
    <xf numFmtId="40" fontId="2" fillId="11" borderId="0" xfId="0" applyNumberFormat="1" applyFont="1" applyFill="1"/>
    <xf numFmtId="0" fontId="0" fillId="6" borderId="0" xfId="0" applyFill="1"/>
    <xf numFmtId="0" fontId="20" fillId="6" borderId="0" xfId="0" applyFont="1" applyFill="1"/>
    <xf numFmtId="2" fontId="2" fillId="6" borderId="0" xfId="0" applyNumberFormat="1" applyFont="1" applyFill="1"/>
    <xf numFmtId="165" fontId="2" fillId="8" borderId="0" xfId="1" applyNumberFormat="1" applyFont="1" applyFill="1"/>
    <xf numFmtId="9" fontId="5" fillId="3" borderId="2" xfId="2" applyFont="1" applyFill="1" applyBorder="1" applyAlignment="1">
      <alignment horizontal="center" vertical="center" wrapText="1" readingOrder="1"/>
    </xf>
    <xf numFmtId="164" fontId="0" fillId="0" borderId="0" xfId="0" applyNumberFormat="1"/>
    <xf numFmtId="164" fontId="15" fillId="3" borderId="6" xfId="1" applyFont="1" applyFill="1" applyBorder="1" applyAlignment="1">
      <alignment vertical="center" readingOrder="1"/>
    </xf>
    <xf numFmtId="0" fontId="22" fillId="0" borderId="0" xfId="0" applyFont="1"/>
    <xf numFmtId="3" fontId="3" fillId="0" borderId="0" xfId="0" applyNumberFormat="1" applyFont="1"/>
    <xf numFmtId="3" fontId="0" fillId="0" borderId="0" xfId="0" applyNumberFormat="1"/>
    <xf numFmtId="49" fontId="0" fillId="0" borderId="0" xfId="0" applyNumberFormat="1"/>
    <xf numFmtId="3" fontId="0" fillId="5" borderId="0" xfId="0" applyNumberFormat="1" applyFill="1"/>
    <xf numFmtId="0" fontId="22" fillId="0" borderId="0" xfId="0" applyFont="1" applyAlignment="1">
      <alignment wrapText="1"/>
    </xf>
    <xf numFmtId="0" fontId="23" fillId="15" borderId="1" xfId="0" applyFont="1" applyFill="1" applyBorder="1" applyAlignment="1">
      <alignment horizontal="center" vertical="center" wrapText="1" readingOrder="1"/>
    </xf>
    <xf numFmtId="0" fontId="24" fillId="3" borderId="2" xfId="0" applyFont="1" applyFill="1" applyBorder="1" applyAlignment="1">
      <alignment horizontal="left" vertical="center" wrapText="1" readingOrder="1"/>
    </xf>
    <xf numFmtId="3" fontId="24" fillId="3" borderId="2" xfId="0" applyNumberFormat="1" applyFont="1" applyFill="1" applyBorder="1" applyAlignment="1">
      <alignment horizontal="center" vertical="center" wrapText="1" readingOrder="1"/>
    </xf>
    <xf numFmtId="9" fontId="24" fillId="3" borderId="2" xfId="2" applyFont="1" applyFill="1" applyBorder="1" applyAlignment="1">
      <alignment horizontal="center" vertical="center" wrapText="1" readingOrder="1"/>
    </xf>
    <xf numFmtId="0" fontId="24" fillId="3" borderId="2" xfId="0" applyFont="1" applyFill="1" applyBorder="1" applyAlignment="1">
      <alignment horizontal="center" vertical="center" wrapText="1" readingOrder="1"/>
    </xf>
    <xf numFmtId="166" fontId="24" fillId="3" borderId="2" xfId="0" applyNumberFormat="1" applyFont="1" applyFill="1" applyBorder="1" applyAlignment="1">
      <alignment horizontal="center" vertical="center" wrapText="1" readingOrder="1"/>
    </xf>
    <xf numFmtId="0" fontId="25" fillId="13" borderId="2" xfId="0" applyFont="1" applyFill="1" applyBorder="1" applyAlignment="1">
      <alignment horizontal="center" vertical="center" wrapText="1" readingOrder="1"/>
    </xf>
    <xf numFmtId="9" fontId="26" fillId="13" borderId="2" xfId="2" applyFont="1" applyFill="1" applyBorder="1" applyAlignment="1">
      <alignment horizontal="center" vertical="center" wrapText="1" readingOrder="1"/>
    </xf>
    <xf numFmtId="0" fontId="27" fillId="14" borderId="2" xfId="0" applyFont="1" applyFill="1" applyBorder="1" applyAlignment="1">
      <alignment horizontal="center" vertical="center" wrapText="1" readingOrder="1"/>
    </xf>
    <xf numFmtId="37" fontId="26" fillId="13" borderId="2" xfId="1" applyNumberFormat="1" applyFont="1" applyFill="1" applyBorder="1" applyAlignment="1">
      <alignment horizontal="center" wrapText="1" readingOrder="1"/>
    </xf>
    <xf numFmtId="0" fontId="21" fillId="0" borderId="0" xfId="0" applyFont="1"/>
    <xf numFmtId="0" fontId="3" fillId="0" borderId="0" xfId="0" applyFont="1" applyAlignment="1">
      <alignment horizontal="center"/>
    </xf>
    <xf numFmtId="0" fontId="23" fillId="15" borderId="25" xfId="0" applyFont="1" applyFill="1" applyBorder="1" applyAlignment="1">
      <alignment horizontal="center" vertical="center" wrapText="1" readingOrder="1"/>
    </xf>
    <xf numFmtId="0" fontId="23" fillId="15" borderId="27" xfId="0" applyFont="1" applyFill="1" applyBorder="1" applyAlignment="1">
      <alignment horizontal="center" vertical="center" wrapText="1" readingOrder="1"/>
    </xf>
    <xf numFmtId="0" fontId="23" fillId="15" borderId="28" xfId="0" applyFont="1" applyFill="1" applyBorder="1" applyAlignment="1">
      <alignment horizontal="center" vertical="center" wrapText="1" readingOrder="1"/>
    </xf>
    <xf numFmtId="0" fontId="23" fillId="15" borderId="25" xfId="0" applyFont="1" applyFill="1" applyBorder="1" applyAlignment="1">
      <alignment horizontal="left" vertical="center" wrapText="1" readingOrder="1"/>
    </xf>
    <xf numFmtId="0" fontId="23" fillId="15" borderId="27" xfId="0" applyFont="1" applyFill="1" applyBorder="1" applyAlignment="1">
      <alignment horizontal="left" vertical="center" wrapText="1" readingOrder="1"/>
    </xf>
    <xf numFmtId="0" fontId="23" fillId="15" borderId="28" xfId="0" applyFont="1" applyFill="1" applyBorder="1" applyAlignment="1">
      <alignment horizontal="left" vertical="center" wrapText="1" readingOrder="1"/>
    </xf>
    <xf numFmtId="0" fontId="28" fillId="12" borderId="3" xfId="0" applyFont="1" applyFill="1" applyBorder="1" applyAlignment="1">
      <alignment horizontal="left" vertical="center" wrapText="1" readingOrder="1"/>
    </xf>
    <xf numFmtId="0" fontId="28" fillId="12" borderId="4" xfId="0" applyFont="1" applyFill="1" applyBorder="1" applyAlignment="1">
      <alignment horizontal="left" vertical="center" wrapText="1" readingOrder="1"/>
    </xf>
    <xf numFmtId="0" fontId="8" fillId="15" borderId="3" xfId="0" applyFont="1" applyFill="1" applyBorder="1" applyAlignment="1">
      <alignment horizontal="left" vertical="center" wrapText="1" readingOrder="1"/>
    </xf>
    <xf numFmtId="0" fontId="8" fillId="15" borderId="4" xfId="0" applyFont="1" applyFill="1" applyBorder="1" applyAlignment="1">
      <alignment horizontal="left" vertical="center" wrapText="1" readingOrder="1"/>
    </xf>
    <xf numFmtId="0" fontId="29" fillId="16" borderId="3" xfId="0" applyFont="1" applyFill="1" applyBorder="1" applyAlignment="1">
      <alignment horizontal="left" vertical="center" wrapText="1" readingOrder="1"/>
    </xf>
    <xf numFmtId="0" fontId="29" fillId="16" borderId="4" xfId="0" applyFont="1" applyFill="1" applyBorder="1" applyAlignment="1">
      <alignment horizontal="left" vertical="center" wrapText="1" readingOrder="1"/>
    </xf>
    <xf numFmtId="0" fontId="18" fillId="7" borderId="13" xfId="0" applyFont="1" applyFill="1" applyBorder="1" applyAlignment="1">
      <alignment horizontal="center"/>
    </xf>
    <xf numFmtId="0" fontId="9" fillId="15" borderId="7" xfId="0" applyFont="1" applyFill="1" applyBorder="1" applyAlignment="1">
      <alignment horizontal="left" vertical="center" wrapText="1" readingOrder="1"/>
    </xf>
    <xf numFmtId="0" fontId="9" fillId="15" borderId="0" xfId="0" applyFont="1" applyFill="1" applyBorder="1" applyAlignment="1">
      <alignment horizontal="left" vertical="center" wrapText="1" readingOrder="1"/>
    </xf>
    <xf numFmtId="0" fontId="9" fillId="15" borderId="3" xfId="0" applyFont="1" applyFill="1" applyBorder="1" applyAlignment="1">
      <alignment horizontal="left" vertical="center" wrapText="1" readingOrder="1"/>
    </xf>
    <xf numFmtId="0" fontId="9" fillId="15" borderId="4" xfId="0" applyFont="1" applyFill="1" applyBorder="1" applyAlignment="1">
      <alignment horizontal="left" vertical="center" wrapText="1" readingOrder="1"/>
    </xf>
    <xf numFmtId="0" fontId="4" fillId="2" borderId="3" xfId="0" applyFont="1" applyFill="1" applyBorder="1" applyAlignment="1">
      <alignment horizontal="left" vertical="center" wrapText="1" readingOrder="1"/>
    </xf>
    <xf numFmtId="0" fontId="4" fillId="2" borderId="4" xfId="0" applyFont="1" applyFill="1" applyBorder="1" applyAlignment="1">
      <alignment horizontal="left" vertical="center" wrapText="1" readingOrder="1"/>
    </xf>
    <xf numFmtId="0" fontId="10" fillId="2" borderId="3" xfId="0" applyFont="1" applyFill="1" applyBorder="1" applyAlignment="1">
      <alignment horizontal="left" vertical="center" wrapText="1" readingOrder="1"/>
    </xf>
    <xf numFmtId="0" fontId="10" fillId="2" borderId="7" xfId="0" applyFont="1" applyFill="1" applyBorder="1" applyAlignment="1">
      <alignment horizontal="center" vertical="center" wrapText="1" readingOrder="1"/>
    </xf>
    <xf numFmtId="0" fontId="10" fillId="2" borderId="0" xfId="0" applyFont="1" applyFill="1" applyBorder="1" applyAlignment="1">
      <alignment horizontal="center" vertical="center" wrapText="1" readingOrder="1"/>
    </xf>
    <xf numFmtId="0" fontId="15" fillId="3" borderId="5" xfId="0" applyFont="1" applyFill="1" applyBorder="1" applyAlignment="1">
      <alignment horizontal="left" vertical="center" readingOrder="1"/>
    </xf>
    <xf numFmtId="0" fontId="15" fillId="3" borderId="6" xfId="0" applyFont="1" applyFill="1" applyBorder="1" applyAlignment="1">
      <alignment horizontal="left" vertical="center" readingOrder="1"/>
    </xf>
    <xf numFmtId="0" fontId="15" fillId="3" borderId="26" xfId="0" applyFont="1" applyFill="1" applyBorder="1" applyAlignment="1">
      <alignment horizontal="left" vertical="center" readingOrder="1"/>
    </xf>
    <xf numFmtId="0" fontId="8" fillId="2" borderId="0" xfId="0" applyFont="1" applyFill="1" applyBorder="1" applyAlignment="1">
      <alignment horizontal="left" vertical="center" wrapText="1" readingOrder="1"/>
    </xf>
    <xf numFmtId="0" fontId="25" fillId="3" borderId="2" xfId="0" applyFont="1" applyFill="1" applyBorder="1" applyAlignment="1">
      <alignment horizontal="left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33</xdr:row>
      <xdr:rowOff>133350</xdr:rowOff>
    </xdr:from>
    <xdr:to>
      <xdr:col>13</xdr:col>
      <xdr:colOff>723900</xdr:colOff>
      <xdr:row>38</xdr:row>
      <xdr:rowOff>114300</xdr:rowOff>
    </xdr:to>
    <xdr:cxnSp macro="">
      <xdr:nvCxnSpPr>
        <xdr:cNvPr id="3" name="2 Conector angular"/>
        <xdr:cNvCxnSpPr/>
      </xdr:nvCxnSpPr>
      <xdr:spPr>
        <a:xfrm rot="10800000">
          <a:off x="4924425" y="7686675"/>
          <a:ext cx="7829550" cy="1085850"/>
        </a:xfrm>
        <a:prstGeom prst="bentConnector3">
          <a:avLst>
            <a:gd name="adj1" fmla="val 50000"/>
          </a:avLst>
        </a:prstGeom>
        <a:ln w="28575"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76203</xdr:colOff>
      <xdr:row>49</xdr:row>
      <xdr:rowOff>95253</xdr:rowOff>
    </xdr:from>
    <xdr:to>
      <xdr:col>15</xdr:col>
      <xdr:colOff>400051</xdr:colOff>
      <xdr:row>56</xdr:row>
      <xdr:rowOff>142876</xdr:rowOff>
    </xdr:to>
    <xdr:cxnSp macro="">
      <xdr:nvCxnSpPr>
        <xdr:cNvPr id="8" name="7 Conector angular"/>
        <xdr:cNvCxnSpPr/>
      </xdr:nvCxnSpPr>
      <xdr:spPr>
        <a:xfrm rot="10800000">
          <a:off x="4095753" y="11106153"/>
          <a:ext cx="10715623" cy="1495423"/>
        </a:xfrm>
        <a:prstGeom prst="bentConnector3">
          <a:avLst>
            <a:gd name="adj1" fmla="val 50000"/>
          </a:avLst>
        </a:prstGeom>
        <a:ln w="28575"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workbookViewId="0">
      <selection activeCell="A23" sqref="A23"/>
    </sheetView>
  </sheetViews>
  <sheetFormatPr baseColWidth="10" defaultRowHeight="15" x14ac:dyDescent="0.25"/>
  <cols>
    <col min="2" max="4" width="0" hidden="1" customWidth="1"/>
    <col min="6" max="6" width="11.42578125" customWidth="1"/>
    <col min="8" max="8" width="10.140625" customWidth="1"/>
    <col min="9" max="9" width="9.7109375" customWidth="1"/>
  </cols>
  <sheetData>
    <row r="2" spans="1:10" x14ac:dyDescent="0.25">
      <c r="B2" s="115">
        <v>2015</v>
      </c>
      <c r="C2" s="115"/>
      <c r="D2" s="115"/>
      <c r="E2" s="115">
        <v>2015</v>
      </c>
      <c r="F2" s="115"/>
      <c r="G2" s="115"/>
    </row>
    <row r="3" spans="1:10" ht="30" x14ac:dyDescent="0.25">
      <c r="B3" s="98" t="s">
        <v>56</v>
      </c>
      <c r="C3" s="98" t="s">
        <v>118</v>
      </c>
      <c r="D3" s="98" t="s">
        <v>117</v>
      </c>
      <c r="E3" s="98" t="s">
        <v>56</v>
      </c>
      <c r="F3" s="98" t="s">
        <v>118</v>
      </c>
      <c r="G3" s="98" t="s">
        <v>117</v>
      </c>
      <c r="H3" s="103" t="s">
        <v>137</v>
      </c>
      <c r="I3" s="103" t="s">
        <v>138</v>
      </c>
      <c r="J3" s="103" t="s">
        <v>137</v>
      </c>
    </row>
    <row r="4" spans="1:10" x14ac:dyDescent="0.25">
      <c r="A4" t="s">
        <v>119</v>
      </c>
      <c r="B4" s="99">
        <v>164146</v>
      </c>
      <c r="C4" s="99">
        <v>82665</v>
      </c>
      <c r="D4" s="99">
        <v>81481</v>
      </c>
      <c r="E4" s="99">
        <v>166226</v>
      </c>
      <c r="F4" s="99">
        <v>83683</v>
      </c>
      <c r="G4" s="99">
        <v>82543</v>
      </c>
      <c r="J4" s="99">
        <f>J5+J9</f>
        <v>59117.936000000002</v>
      </c>
    </row>
    <row r="5" spans="1:10" x14ac:dyDescent="0.25">
      <c r="A5" s="11" t="s">
        <v>120</v>
      </c>
      <c r="B5" s="100">
        <v>18354</v>
      </c>
      <c r="C5" s="100">
        <v>9376</v>
      </c>
      <c r="D5" s="100">
        <v>8978</v>
      </c>
      <c r="E5" s="100">
        <v>18331</v>
      </c>
      <c r="F5" s="100">
        <v>9367</v>
      </c>
      <c r="G5" s="100">
        <v>8964</v>
      </c>
      <c r="H5" s="102">
        <v>15764.66</v>
      </c>
      <c r="I5">
        <f>E5*0.012</f>
        <v>219.97200000000001</v>
      </c>
      <c r="J5" s="100">
        <f>H5-I5</f>
        <v>15544.688</v>
      </c>
    </row>
    <row r="6" spans="1:10" x14ac:dyDescent="0.25">
      <c r="A6" s="101" t="s">
        <v>121</v>
      </c>
      <c r="B6" s="100">
        <v>18054</v>
      </c>
      <c r="C6" s="100">
        <v>9202</v>
      </c>
      <c r="D6" s="100">
        <v>8852</v>
      </c>
      <c r="E6" s="100">
        <v>18121</v>
      </c>
      <c r="F6" s="100">
        <v>9241</v>
      </c>
      <c r="G6" s="100">
        <v>8880</v>
      </c>
    </row>
    <row r="7" spans="1:10" x14ac:dyDescent="0.25">
      <c r="A7" s="101" t="s">
        <v>122</v>
      </c>
      <c r="B7" s="100">
        <v>18358</v>
      </c>
      <c r="C7" s="100">
        <v>93333</v>
      </c>
      <c r="D7" s="100">
        <v>9025</v>
      </c>
      <c r="E7" s="100">
        <v>18154</v>
      </c>
      <c r="F7">
        <v>9236</v>
      </c>
      <c r="G7">
        <v>8918</v>
      </c>
    </row>
    <row r="8" spans="1:10" x14ac:dyDescent="0.25">
      <c r="A8" t="s">
        <v>123</v>
      </c>
      <c r="B8" s="100">
        <v>17533</v>
      </c>
      <c r="C8" s="100">
        <v>8948</v>
      </c>
      <c r="D8" s="100">
        <v>8585</v>
      </c>
      <c r="E8" s="100">
        <v>17544</v>
      </c>
      <c r="F8">
        <v>8953</v>
      </c>
      <c r="G8">
        <v>8591</v>
      </c>
      <c r="H8" s="100">
        <f>E9+E10+E11+E12</f>
        <v>55296</v>
      </c>
    </row>
    <row r="9" spans="1:10" x14ac:dyDescent="0.25">
      <c r="A9" s="11" t="s">
        <v>124</v>
      </c>
      <c r="B9" s="100">
        <v>16523</v>
      </c>
      <c r="C9" s="100">
        <v>8369</v>
      </c>
      <c r="D9" s="100">
        <v>8154</v>
      </c>
      <c r="E9" s="100">
        <v>16663</v>
      </c>
      <c r="F9">
        <v>8449</v>
      </c>
      <c r="G9">
        <v>8214</v>
      </c>
      <c r="H9" s="102">
        <f>H8*0.8</f>
        <v>44236.800000000003</v>
      </c>
      <c r="I9">
        <f>H8*0.012</f>
        <v>663.55200000000002</v>
      </c>
      <c r="J9" s="100">
        <f>H9-I9</f>
        <v>43573.248</v>
      </c>
    </row>
    <row r="10" spans="1:10" x14ac:dyDescent="0.25">
      <c r="A10" s="11" t="s">
        <v>125</v>
      </c>
      <c r="B10" s="100">
        <v>14191</v>
      </c>
      <c r="C10" s="100">
        <v>7143</v>
      </c>
      <c r="D10" s="100">
        <v>7048</v>
      </c>
      <c r="E10" s="100">
        <v>14456</v>
      </c>
      <c r="F10">
        <v>7278</v>
      </c>
      <c r="G10">
        <v>7178</v>
      </c>
    </row>
    <row r="11" spans="1:10" x14ac:dyDescent="0.25">
      <c r="A11" s="11" t="s">
        <v>126</v>
      </c>
      <c r="B11" s="100">
        <v>13008</v>
      </c>
      <c r="C11" s="100">
        <v>6567</v>
      </c>
      <c r="D11" s="100">
        <v>6441</v>
      </c>
      <c r="E11" s="100">
        <v>13163</v>
      </c>
      <c r="F11">
        <v>6637</v>
      </c>
      <c r="G11">
        <v>6526</v>
      </c>
    </row>
    <row r="12" spans="1:10" x14ac:dyDescent="0.25">
      <c r="A12" s="11" t="s">
        <v>127</v>
      </c>
      <c r="B12" s="100">
        <v>10634</v>
      </c>
      <c r="C12" s="100">
        <v>5246</v>
      </c>
      <c r="D12" s="100">
        <v>5388</v>
      </c>
      <c r="E12" s="100">
        <v>11014</v>
      </c>
      <c r="F12">
        <v>5444</v>
      </c>
      <c r="G12">
        <v>5570</v>
      </c>
    </row>
    <row r="13" spans="1:10" x14ac:dyDescent="0.25">
      <c r="A13" t="s">
        <v>128</v>
      </c>
      <c r="B13" s="100">
        <v>8401</v>
      </c>
      <c r="C13" s="100">
        <v>4117</v>
      </c>
      <c r="D13" s="100">
        <v>4284</v>
      </c>
      <c r="E13" s="100">
        <v>8740</v>
      </c>
      <c r="F13">
        <v>4278</v>
      </c>
      <c r="G13">
        <v>4462</v>
      </c>
    </row>
    <row r="14" spans="1:10" x14ac:dyDescent="0.25">
      <c r="A14" t="s">
        <v>129</v>
      </c>
      <c r="B14" s="100">
        <v>6714</v>
      </c>
      <c r="C14" s="100">
        <v>3324</v>
      </c>
      <c r="D14" s="100">
        <v>3390</v>
      </c>
      <c r="E14" s="100">
        <v>6939</v>
      </c>
      <c r="F14">
        <v>3425</v>
      </c>
      <c r="G14">
        <v>3514</v>
      </c>
    </row>
    <row r="15" spans="1:10" x14ac:dyDescent="0.25">
      <c r="A15" t="s">
        <v>130</v>
      </c>
      <c r="B15" s="100">
        <v>5551</v>
      </c>
      <c r="C15" s="100">
        <v>2762</v>
      </c>
      <c r="D15" s="100">
        <v>2789</v>
      </c>
      <c r="E15" s="100">
        <v>5702</v>
      </c>
      <c r="F15">
        <v>2834</v>
      </c>
      <c r="G15">
        <v>2868</v>
      </c>
    </row>
    <row r="16" spans="1:10" x14ac:dyDescent="0.25">
      <c r="A16" t="s">
        <v>131</v>
      </c>
      <c r="B16" s="100">
        <v>4904</v>
      </c>
      <c r="C16" s="100">
        <v>2415</v>
      </c>
      <c r="D16" s="100">
        <v>2489</v>
      </c>
      <c r="E16" s="100">
        <v>5016</v>
      </c>
      <c r="F16">
        <v>2470</v>
      </c>
      <c r="G16">
        <v>2546</v>
      </c>
    </row>
    <row r="17" spans="1:7" x14ac:dyDescent="0.25">
      <c r="A17" t="s">
        <v>132</v>
      </c>
      <c r="B17" s="100">
        <v>4030</v>
      </c>
      <c r="C17" s="100">
        <v>1976</v>
      </c>
      <c r="D17" s="100">
        <v>2054</v>
      </c>
      <c r="E17" s="100">
        <v>4209</v>
      </c>
      <c r="F17">
        <v>2063</v>
      </c>
      <c r="G17">
        <v>2146</v>
      </c>
    </row>
    <row r="18" spans="1:7" x14ac:dyDescent="0.25">
      <c r="A18" t="s">
        <v>133</v>
      </c>
      <c r="B18" s="100">
        <v>2396</v>
      </c>
      <c r="C18" s="100">
        <v>1183</v>
      </c>
      <c r="D18" s="100">
        <v>1213</v>
      </c>
      <c r="E18" s="100">
        <v>2583</v>
      </c>
      <c r="F18">
        <v>1269</v>
      </c>
      <c r="G18">
        <v>1314</v>
      </c>
    </row>
    <row r="19" spans="1:7" x14ac:dyDescent="0.25">
      <c r="A19" t="s">
        <v>134</v>
      </c>
      <c r="B19" s="100">
        <v>2296</v>
      </c>
      <c r="C19" s="100">
        <v>1148</v>
      </c>
      <c r="D19" s="100">
        <v>1148</v>
      </c>
      <c r="E19" s="100">
        <v>2258</v>
      </c>
      <c r="F19">
        <v>1123</v>
      </c>
      <c r="G19">
        <v>1135</v>
      </c>
    </row>
    <row r="20" spans="1:7" x14ac:dyDescent="0.25">
      <c r="A20" t="s">
        <v>135</v>
      </c>
      <c r="B20" s="100">
        <v>1654</v>
      </c>
      <c r="C20" s="100">
        <v>828</v>
      </c>
      <c r="D20" s="100">
        <v>826</v>
      </c>
      <c r="E20" s="100">
        <v>1708</v>
      </c>
      <c r="F20">
        <v>851</v>
      </c>
      <c r="G20">
        <v>857</v>
      </c>
    </row>
    <row r="21" spans="1:7" x14ac:dyDescent="0.25">
      <c r="A21" t="s">
        <v>136</v>
      </c>
      <c r="B21" s="100">
        <v>1545</v>
      </c>
      <c r="C21" s="100">
        <v>728</v>
      </c>
      <c r="D21" s="100">
        <v>817</v>
      </c>
      <c r="E21" s="100">
        <v>1625</v>
      </c>
      <c r="F21">
        <v>765</v>
      </c>
      <c r="G21">
        <v>860</v>
      </c>
    </row>
  </sheetData>
  <mergeCells count="2">
    <mergeCell ref="B2:D2"/>
    <mergeCell ref="E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32"/>
  <sheetViews>
    <sheetView showGridLines="0" tabSelected="1" view="pageBreakPreview" zoomScale="80" zoomScaleNormal="110" zoomScaleSheetLayoutView="80" workbookViewId="0">
      <pane xSplit="2" ySplit="3" topLeftCell="C4" activePane="bottomRight" state="frozen"/>
      <selection pane="topRight" activeCell="C1" sqref="C1"/>
      <selection pane="bottomLeft" activeCell="A5" sqref="A5"/>
      <selection pane="bottomRight" activeCell="D32" sqref="D32"/>
    </sheetView>
  </sheetViews>
  <sheetFormatPr baseColWidth="10" defaultRowHeight="15" x14ac:dyDescent="0.25"/>
  <cols>
    <col min="2" max="2" width="16.7109375" customWidth="1"/>
    <col min="3" max="6" width="20.7109375" customWidth="1"/>
    <col min="7" max="7" width="19.7109375" customWidth="1"/>
    <col min="8" max="8" width="23.42578125" customWidth="1"/>
    <col min="9" max="9" width="20.7109375" customWidth="1"/>
    <col min="10" max="10" width="16.140625" bestFit="1" customWidth="1"/>
  </cols>
  <sheetData>
    <row r="1" spans="2:10" ht="15.75" thickBot="1" x14ac:dyDescent="0.3"/>
    <row r="2" spans="2:10" ht="74.25" customHeight="1" thickBot="1" x14ac:dyDescent="0.3">
      <c r="C2" s="104" t="s">
        <v>9</v>
      </c>
      <c r="D2" s="104" t="s">
        <v>10</v>
      </c>
      <c r="E2" s="104" t="s">
        <v>6</v>
      </c>
      <c r="F2" s="104" t="s">
        <v>0</v>
      </c>
      <c r="G2" s="104" t="s">
        <v>1</v>
      </c>
      <c r="H2" s="104" t="s">
        <v>2</v>
      </c>
    </row>
    <row r="3" spans="2:10" ht="21" thickTop="1" thickBot="1" x14ac:dyDescent="0.3">
      <c r="C3" s="105" t="s">
        <v>149</v>
      </c>
      <c r="D3" s="106">
        <v>55296</v>
      </c>
      <c r="E3" s="107">
        <v>0.8</v>
      </c>
      <c r="F3" s="106">
        <f>+ROUND(E3*D3,0)</f>
        <v>44237</v>
      </c>
      <c r="G3" s="106">
        <v>44236.800000000003</v>
      </c>
      <c r="H3" s="109">
        <f>+G3/F3</f>
        <v>0.99999547889775531</v>
      </c>
      <c r="I3">
        <f>D3*0.8</f>
        <v>44236.800000000003</v>
      </c>
    </row>
    <row r="4" spans="2:10" ht="15.75" thickBot="1" x14ac:dyDescent="0.3"/>
    <row r="5" spans="2:10" ht="45.75" thickBot="1" x14ac:dyDescent="0.3">
      <c r="B5" s="104" t="s">
        <v>142</v>
      </c>
      <c r="C5" s="104" t="s">
        <v>4</v>
      </c>
      <c r="D5" s="104" t="s">
        <v>115</v>
      </c>
      <c r="E5" s="104" t="s">
        <v>10</v>
      </c>
      <c r="F5" s="104" t="s">
        <v>6</v>
      </c>
      <c r="G5" s="104" t="s">
        <v>114</v>
      </c>
      <c r="H5" s="104" t="s">
        <v>113</v>
      </c>
      <c r="I5" s="104" t="s">
        <v>143</v>
      </c>
    </row>
    <row r="6" spans="2:10" ht="40.5" thickTop="1" thickBot="1" x14ac:dyDescent="0.3">
      <c r="B6" s="105" t="s">
        <v>148</v>
      </c>
      <c r="C6" s="106">
        <v>166226</v>
      </c>
      <c r="D6" s="107">
        <v>0.45</v>
      </c>
      <c r="E6" s="108">
        <f>+C6*D6</f>
        <v>74801.7</v>
      </c>
      <c r="F6" s="108">
        <v>0.5</v>
      </c>
      <c r="G6" s="106">
        <f>+F6*E6</f>
        <v>37400.85</v>
      </c>
      <c r="H6" s="106">
        <v>44881.02</v>
      </c>
      <c r="I6" s="106">
        <f>+ROUND(H6/G6,2)</f>
        <v>1.2</v>
      </c>
    </row>
    <row r="8" spans="2:10" ht="15.75" thickBot="1" x14ac:dyDescent="0.3"/>
    <row r="9" spans="2:10" ht="61.5" customHeight="1" thickBot="1" x14ac:dyDescent="0.3">
      <c r="C9" s="119" t="s">
        <v>17</v>
      </c>
      <c r="D9" s="120"/>
      <c r="E9" s="120"/>
      <c r="F9" s="120"/>
      <c r="G9" s="120"/>
      <c r="H9" s="120"/>
      <c r="I9" s="120"/>
      <c r="J9" s="121"/>
    </row>
    <row r="10" spans="2:10" ht="21" thickTop="1" thickBot="1" x14ac:dyDescent="0.3">
      <c r="C10" s="112">
        <v>2015</v>
      </c>
      <c r="D10" s="112">
        <v>2016</v>
      </c>
      <c r="E10" s="112">
        <v>2017</v>
      </c>
      <c r="F10" s="112">
        <v>2018</v>
      </c>
      <c r="G10" s="112">
        <v>2019</v>
      </c>
      <c r="H10" s="112">
        <v>2020</v>
      </c>
      <c r="I10" s="112">
        <v>2021</v>
      </c>
      <c r="J10" s="112">
        <v>2022</v>
      </c>
    </row>
    <row r="11" spans="2:10" ht="37.5" thickTop="1" thickBot="1" x14ac:dyDescent="0.3">
      <c r="B11" s="142" t="s">
        <v>139</v>
      </c>
      <c r="C11" s="106">
        <f>+D3</f>
        <v>55296</v>
      </c>
      <c r="D11" s="106">
        <f>+ROUND(C11*(1+$D$13),0)</f>
        <v>56402</v>
      </c>
      <c r="E11" s="106">
        <f>+ROUND(D11*(1+$D$13),0)</f>
        <v>57530</v>
      </c>
      <c r="F11" s="106">
        <f t="shared" ref="F11:J11" si="0">+ROUND(E11*(1+$D$13),0)</f>
        <v>58681</v>
      </c>
      <c r="G11" s="106">
        <f t="shared" si="0"/>
        <v>59855</v>
      </c>
      <c r="H11" s="106">
        <f t="shared" si="0"/>
        <v>61052</v>
      </c>
      <c r="I11" s="106">
        <f t="shared" si="0"/>
        <v>62273</v>
      </c>
      <c r="J11" s="106">
        <f t="shared" si="0"/>
        <v>63518</v>
      </c>
    </row>
    <row r="12" spans="2:10" ht="15.75" thickBot="1" x14ac:dyDescent="0.3"/>
    <row r="13" spans="2:10" ht="37.5" thickTop="1" thickBot="1" x14ac:dyDescent="0.3">
      <c r="C13" s="110" t="s">
        <v>11</v>
      </c>
      <c r="D13" s="111">
        <v>0.02</v>
      </c>
      <c r="F13" s="100"/>
    </row>
    <row r="15" spans="2:10" ht="15.75" thickBot="1" x14ac:dyDescent="0.3"/>
    <row r="16" spans="2:10" ht="63.75" customHeight="1" thickBot="1" x14ac:dyDescent="0.3">
      <c r="C16" s="116" t="s">
        <v>146</v>
      </c>
      <c r="D16" s="117"/>
      <c r="E16" s="117"/>
      <c r="F16" s="117"/>
      <c r="G16" s="117"/>
      <c r="H16" s="117"/>
      <c r="I16" s="117"/>
      <c r="J16" s="118"/>
    </row>
    <row r="17" spans="2:10" ht="21" thickTop="1" thickBot="1" x14ac:dyDescent="0.3">
      <c r="C17" s="112">
        <v>2015</v>
      </c>
      <c r="D17" s="112">
        <v>2016</v>
      </c>
      <c r="E17" s="112">
        <v>2017</v>
      </c>
      <c r="F17" s="112">
        <v>2018</v>
      </c>
      <c r="G17" s="112">
        <v>2019</v>
      </c>
      <c r="H17" s="112">
        <v>2020</v>
      </c>
      <c r="I17" s="112">
        <v>2021</v>
      </c>
      <c r="J17" s="112">
        <v>2022</v>
      </c>
    </row>
    <row r="18" spans="2:10" ht="37.5" thickTop="1" thickBot="1" x14ac:dyDescent="0.3">
      <c r="B18" s="142" t="s">
        <v>139</v>
      </c>
      <c r="C18" s="106">
        <f>+ROUND(C11*$E$3,0)</f>
        <v>44237</v>
      </c>
      <c r="D18" s="106">
        <f>+ROUND(D11*$E$3,0)</f>
        <v>45122</v>
      </c>
      <c r="E18" s="106">
        <f>+ROUND(E11*$E$3,0)</f>
        <v>46024</v>
      </c>
      <c r="F18" s="106">
        <f>+ROUND(F11*$E$3,0)</f>
        <v>46945</v>
      </c>
      <c r="G18" s="106">
        <f>+ROUND(G11*$E$3,0)</f>
        <v>47884</v>
      </c>
      <c r="H18" s="106">
        <f>+ROUND(H11*$E$3,0)</f>
        <v>48842</v>
      </c>
      <c r="I18" s="106">
        <f>+ROUND(I11*$E$3,0)</f>
        <v>49818</v>
      </c>
      <c r="J18" s="106">
        <f>+ROUND(J11*$E$3,0)</f>
        <v>50814</v>
      </c>
    </row>
    <row r="20" spans="2:10" ht="15.75" thickBot="1" x14ac:dyDescent="0.3"/>
    <row r="21" spans="2:10" ht="45.75" customHeight="1" thickBot="1" x14ac:dyDescent="0.3">
      <c r="C21" s="119" t="s">
        <v>144</v>
      </c>
      <c r="D21" s="120"/>
      <c r="E21" s="120"/>
      <c r="F21" s="120"/>
      <c r="G21" s="120"/>
      <c r="H21" s="120"/>
      <c r="I21" s="120"/>
      <c r="J21" s="121"/>
    </row>
    <row r="22" spans="2:10" ht="21" thickTop="1" thickBot="1" x14ac:dyDescent="0.3">
      <c r="C22" s="112">
        <v>2015</v>
      </c>
      <c r="D22" s="112">
        <v>2016</v>
      </c>
      <c r="E22" s="112">
        <v>2017</v>
      </c>
      <c r="F22" s="112">
        <v>2018</v>
      </c>
      <c r="G22" s="112">
        <v>2019</v>
      </c>
      <c r="H22" s="112">
        <v>2020</v>
      </c>
      <c r="I22" s="112">
        <v>2021</v>
      </c>
      <c r="J22" s="112">
        <v>2022</v>
      </c>
    </row>
    <row r="23" spans="2:10" ht="37.5" thickTop="1" thickBot="1" x14ac:dyDescent="0.3">
      <c r="B23" s="142" t="s">
        <v>139</v>
      </c>
      <c r="C23" s="106">
        <f>+C18*$H$3</f>
        <v>44236.800000000003</v>
      </c>
      <c r="D23" s="106">
        <f>+D18*$H$3</f>
        <v>45121.795998824513</v>
      </c>
      <c r="E23" s="106">
        <f t="shared" ref="E23:J23" si="1">+E18*$H$3</f>
        <v>46023.791920790289</v>
      </c>
      <c r="F23" s="106">
        <f t="shared" si="1"/>
        <v>46944.787756855119</v>
      </c>
      <c r="G23" s="106">
        <f t="shared" si="1"/>
        <v>47883.783511540118</v>
      </c>
      <c r="H23" s="106">
        <f t="shared" si="1"/>
        <v>48841.779180324163</v>
      </c>
      <c r="I23" s="106">
        <f t="shared" si="1"/>
        <v>49817.774767728377</v>
      </c>
      <c r="J23" s="106">
        <f t="shared" si="1"/>
        <v>50813.77026471054</v>
      </c>
    </row>
    <row r="24" spans="2:10" ht="15.75" thickBot="1" x14ac:dyDescent="0.3"/>
    <row r="25" spans="2:10" ht="78.75" customHeight="1" x14ac:dyDescent="0.25">
      <c r="C25" s="119" t="s">
        <v>150</v>
      </c>
      <c r="D25" s="120"/>
      <c r="E25" s="120"/>
      <c r="F25" s="120"/>
      <c r="G25" s="120"/>
      <c r="H25" s="120"/>
      <c r="I25" s="120"/>
      <c r="J25" s="121"/>
    </row>
    <row r="26" spans="2:10" ht="15.75" thickBot="1" x14ac:dyDescent="0.3"/>
    <row r="27" spans="2:10" ht="19.5" thickTop="1" thickBot="1" x14ac:dyDescent="0.3">
      <c r="C27" s="110" t="s">
        <v>147</v>
      </c>
      <c r="D27" s="113">
        <v>3</v>
      </c>
    </row>
    <row r="28" spans="2:10" ht="37.5" thickTop="1" thickBot="1" x14ac:dyDescent="0.3">
      <c r="C28" s="110" t="s">
        <v>16</v>
      </c>
      <c r="D28" s="111">
        <v>0.9</v>
      </c>
    </row>
    <row r="29" spans="2:10" ht="15.75" thickBot="1" x14ac:dyDescent="0.3"/>
    <row r="30" spans="2:10" ht="21" customHeight="1" thickBot="1" x14ac:dyDescent="0.3">
      <c r="C30" s="119" t="s">
        <v>145</v>
      </c>
      <c r="D30" s="120"/>
      <c r="E30" s="120"/>
      <c r="F30" s="120"/>
      <c r="G30" s="120"/>
      <c r="H30" s="120"/>
      <c r="I30" s="120"/>
      <c r="J30" s="121"/>
    </row>
    <row r="31" spans="2:10" ht="21" thickTop="1" thickBot="1" x14ac:dyDescent="0.3">
      <c r="C31" s="112">
        <v>2015</v>
      </c>
      <c r="D31" s="112">
        <v>2016</v>
      </c>
      <c r="E31" s="112">
        <v>2017</v>
      </c>
      <c r="F31" s="112">
        <v>2018</v>
      </c>
      <c r="G31" s="112">
        <v>2019</v>
      </c>
      <c r="H31" s="112">
        <v>2020</v>
      </c>
      <c r="I31" s="112">
        <v>2021</v>
      </c>
      <c r="J31" s="112">
        <v>2022</v>
      </c>
    </row>
    <row r="32" spans="2:10" ht="37.5" thickTop="1" thickBot="1" x14ac:dyDescent="0.3">
      <c r="B32" s="142" t="s">
        <v>139</v>
      </c>
      <c r="C32" s="106">
        <f>+C23</f>
        <v>44236.800000000003</v>
      </c>
      <c r="D32" s="106">
        <f>ROUND(D11*$D$28*$D$27,0)</f>
        <v>152285</v>
      </c>
      <c r="E32" s="106">
        <f>ROUND(E11*$D$28*$D$27,0)</f>
        <v>155331</v>
      </c>
      <c r="F32" s="106">
        <f>ROUND(F11*$D$28*$D$27,0)</f>
        <v>158439</v>
      </c>
      <c r="G32" s="106">
        <f>ROUND(G11*$D$28*$D$27,0)</f>
        <v>161609</v>
      </c>
      <c r="H32" s="106">
        <f>ROUND(H11*$D$28*$D$27,0)</f>
        <v>164840</v>
      </c>
      <c r="I32" s="106">
        <f>ROUND(I11*$D$28*$D$27,0)</f>
        <v>168137</v>
      </c>
      <c r="J32" s="106">
        <f>ROUND(J11*$D$28*$D$27,0)</f>
        <v>171499</v>
      </c>
    </row>
  </sheetData>
  <mergeCells count="5">
    <mergeCell ref="C9:J9"/>
    <mergeCell ref="C16:J16"/>
    <mergeCell ref="C21:J21"/>
    <mergeCell ref="C25:J25"/>
    <mergeCell ref="C30:J30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72"/>
  <sheetViews>
    <sheetView showGridLines="0" zoomScale="90" zoomScaleNormal="90" workbookViewId="0">
      <selection activeCell="M21" sqref="M21"/>
    </sheetView>
  </sheetViews>
  <sheetFormatPr baseColWidth="10" defaultRowHeight="15" x14ac:dyDescent="0.25"/>
  <cols>
    <col min="1" max="1" width="3.85546875" customWidth="1"/>
    <col min="2" max="2" width="4.7109375" customWidth="1"/>
    <col min="3" max="3" width="22.85546875" customWidth="1"/>
    <col min="4" max="4" width="14.28515625" customWidth="1"/>
    <col min="5" max="5" width="14.5703125" customWidth="1"/>
    <col min="6" max="6" width="15" customWidth="1"/>
    <col min="7" max="7" width="15.140625" customWidth="1"/>
    <col min="10" max="10" width="17" customWidth="1"/>
    <col min="13" max="13" width="34.5703125" customWidth="1"/>
    <col min="14" max="14" width="15.85546875" customWidth="1"/>
    <col min="15" max="15" width="19.85546875" customWidth="1"/>
    <col min="16" max="16" width="15.5703125" customWidth="1"/>
  </cols>
  <sheetData>
    <row r="2" spans="2:10" ht="28.5" thickBot="1" x14ac:dyDescent="0.3">
      <c r="C2" s="122" t="s">
        <v>54</v>
      </c>
      <c r="D2" s="123"/>
      <c r="E2" s="123"/>
      <c r="F2" s="123"/>
      <c r="G2" s="123"/>
      <c r="H2" s="123"/>
      <c r="I2" s="123"/>
      <c r="J2" s="123"/>
    </row>
    <row r="3" spans="2:10" ht="15.75" thickTop="1" x14ac:dyDescent="0.25"/>
    <row r="4" spans="2:10" ht="21" thickBot="1" x14ac:dyDescent="0.3">
      <c r="C4" s="126" t="s">
        <v>20</v>
      </c>
      <c r="D4" s="127"/>
      <c r="E4" s="127"/>
      <c r="F4" s="127"/>
      <c r="G4" s="127"/>
      <c r="H4" s="127"/>
      <c r="I4" s="127"/>
      <c r="J4" s="127"/>
    </row>
    <row r="5" spans="2:10" ht="20.25" thickTop="1" thickBot="1" x14ac:dyDescent="0.3">
      <c r="C5" s="124" t="s">
        <v>41</v>
      </c>
      <c r="D5" s="125"/>
      <c r="E5" s="125"/>
      <c r="F5" s="125"/>
      <c r="G5" s="125"/>
      <c r="H5" s="125"/>
      <c r="I5" s="125"/>
      <c r="J5" s="125"/>
    </row>
    <row r="6" spans="2:10" ht="16.5" customHeight="1" thickTop="1" thickBot="1" x14ac:dyDescent="0.3">
      <c r="B6" s="6" t="s">
        <v>31</v>
      </c>
      <c r="C6" s="15" t="s">
        <v>21</v>
      </c>
      <c r="D6" s="16"/>
      <c r="E6" s="16"/>
      <c r="F6" s="16"/>
      <c r="G6" s="16"/>
      <c r="H6" s="21">
        <v>3297</v>
      </c>
      <c r="I6" s="15" t="s">
        <v>22</v>
      </c>
    </row>
    <row r="7" spans="2:10" ht="16.5" customHeight="1" thickTop="1" thickBot="1" x14ac:dyDescent="0.3">
      <c r="B7" s="6" t="s">
        <v>32</v>
      </c>
      <c r="C7" s="15" t="s">
        <v>30</v>
      </c>
      <c r="D7" s="16"/>
      <c r="E7" s="17">
        <v>20</v>
      </c>
      <c r="F7" s="15" t="s">
        <v>23</v>
      </c>
      <c r="G7" s="15" t="s">
        <v>28</v>
      </c>
      <c r="H7" s="11">
        <v>2</v>
      </c>
      <c r="I7" s="15" t="s">
        <v>29</v>
      </c>
      <c r="J7" s="15"/>
    </row>
    <row r="8" spans="2:10" ht="17.25" thickTop="1" thickBot="1" x14ac:dyDescent="0.3">
      <c r="B8" s="6" t="s">
        <v>33</v>
      </c>
      <c r="C8" s="15" t="s">
        <v>24</v>
      </c>
      <c r="D8" s="15"/>
      <c r="E8" s="12">
        <f>+H7*D9*E10</f>
        <v>120</v>
      </c>
      <c r="F8" s="15" t="s">
        <v>23</v>
      </c>
    </row>
    <row r="9" spans="2:10" ht="17.25" thickTop="1" thickBot="1" x14ac:dyDescent="0.3">
      <c r="B9" s="6" t="s">
        <v>35</v>
      </c>
      <c r="C9" s="18" t="s">
        <v>25</v>
      </c>
      <c r="D9" s="13">
        <v>4</v>
      </c>
      <c r="E9" s="18" t="s">
        <v>27</v>
      </c>
      <c r="F9" s="18"/>
    </row>
    <row r="10" spans="2:10" ht="17.25" thickTop="1" thickBot="1" x14ac:dyDescent="0.3">
      <c r="B10" s="6" t="s">
        <v>36</v>
      </c>
      <c r="C10" s="18" t="s">
        <v>26</v>
      </c>
      <c r="D10" s="18"/>
      <c r="E10" s="13">
        <v>15</v>
      </c>
      <c r="F10" s="18" t="s">
        <v>23</v>
      </c>
    </row>
    <row r="11" spans="2:10" ht="17.25" thickTop="1" thickBot="1" x14ac:dyDescent="0.3">
      <c r="B11" s="6" t="s">
        <v>34</v>
      </c>
      <c r="C11" s="15" t="s">
        <v>78</v>
      </c>
      <c r="D11" s="15"/>
      <c r="E11" s="12">
        <f>+D12*E10*H7</f>
        <v>120</v>
      </c>
      <c r="F11" s="15" t="s">
        <v>23</v>
      </c>
    </row>
    <row r="12" spans="2:10" ht="16.5" thickTop="1" x14ac:dyDescent="0.25">
      <c r="B12" s="6" t="s">
        <v>79</v>
      </c>
      <c r="C12" s="47" t="s">
        <v>80</v>
      </c>
      <c r="D12" s="13">
        <v>4</v>
      </c>
      <c r="E12" s="18" t="s">
        <v>81</v>
      </c>
      <c r="F12" s="18"/>
    </row>
    <row r="13" spans="2:10" ht="15.75" thickBot="1" x14ac:dyDescent="0.3">
      <c r="B13" s="6"/>
    </row>
    <row r="14" spans="2:10" ht="17.25" thickTop="1" thickBot="1" x14ac:dyDescent="0.3">
      <c r="B14" s="6" t="s">
        <v>39</v>
      </c>
      <c r="C14" s="15" t="s">
        <v>82</v>
      </c>
      <c r="D14" s="15"/>
      <c r="E14" s="15"/>
      <c r="F14" s="15"/>
      <c r="G14" s="15"/>
      <c r="H14" s="15">
        <f>+E7*H7+E8+E11</f>
        <v>280</v>
      </c>
      <c r="I14" s="15" t="s">
        <v>52</v>
      </c>
    </row>
    <row r="15" spans="2:10" ht="16.5" thickTop="1" x14ac:dyDescent="0.25">
      <c r="B15" s="6" t="s">
        <v>50</v>
      </c>
      <c r="C15" s="15" t="s">
        <v>37</v>
      </c>
      <c r="D15" s="15"/>
      <c r="E15" s="15"/>
      <c r="F15" s="14">
        <v>0.08</v>
      </c>
      <c r="G15" s="15" t="s">
        <v>38</v>
      </c>
    </row>
    <row r="18" spans="2:16" ht="21" thickBot="1" x14ac:dyDescent="0.3">
      <c r="C18" s="126" t="s">
        <v>40</v>
      </c>
      <c r="D18" s="127"/>
      <c r="E18" s="127"/>
      <c r="F18" s="127"/>
      <c r="G18" s="127"/>
      <c r="H18" s="127"/>
      <c r="I18" s="127"/>
      <c r="J18" s="127"/>
    </row>
    <row r="19" spans="2:16" ht="41.25" customHeight="1" thickTop="1" thickBot="1" x14ac:dyDescent="0.3">
      <c r="C19" s="124" t="s">
        <v>141</v>
      </c>
      <c r="D19" s="125"/>
      <c r="E19" s="125"/>
      <c r="F19" s="125"/>
      <c r="G19" s="125"/>
      <c r="H19" s="125"/>
      <c r="I19" s="125"/>
      <c r="J19" s="125"/>
    </row>
    <row r="20" spans="2:16" ht="17.25" thickTop="1" thickBot="1" x14ac:dyDescent="0.3">
      <c r="B20" t="s">
        <v>44</v>
      </c>
      <c r="C20" s="15" t="s">
        <v>21</v>
      </c>
      <c r="D20" s="16"/>
      <c r="E20" s="16"/>
      <c r="F20" s="16"/>
      <c r="G20" s="16"/>
      <c r="H20" s="21">
        <v>2500</v>
      </c>
      <c r="I20" s="15" t="s">
        <v>22</v>
      </c>
      <c r="J20" s="114" t="s">
        <v>140</v>
      </c>
    </row>
    <row r="21" spans="2:16" ht="17.25" thickTop="1" thickBot="1" x14ac:dyDescent="0.3">
      <c r="B21" t="s">
        <v>45</v>
      </c>
      <c r="C21" s="15" t="s">
        <v>30</v>
      </c>
      <c r="D21" s="16"/>
      <c r="E21" s="17">
        <v>15</v>
      </c>
      <c r="F21" s="15" t="s">
        <v>23</v>
      </c>
      <c r="G21" s="15" t="s">
        <v>28</v>
      </c>
      <c r="H21" s="11">
        <v>2</v>
      </c>
      <c r="I21" s="15" t="s">
        <v>29</v>
      </c>
      <c r="J21" s="15"/>
    </row>
    <row r="22" spans="2:16" ht="17.25" thickTop="1" thickBot="1" x14ac:dyDescent="0.3">
      <c r="B22" t="s">
        <v>46</v>
      </c>
      <c r="C22" s="15" t="s">
        <v>24</v>
      </c>
      <c r="D22" s="15"/>
      <c r="E22" s="12">
        <f>+H21*D23*E24</f>
        <v>40</v>
      </c>
      <c r="F22" s="15" t="s">
        <v>23</v>
      </c>
    </row>
    <row r="23" spans="2:16" ht="17.25" thickTop="1" thickBot="1" x14ac:dyDescent="0.3">
      <c r="B23" t="s">
        <v>47</v>
      </c>
      <c r="C23" s="18" t="s">
        <v>25</v>
      </c>
      <c r="D23" s="13">
        <v>2</v>
      </c>
      <c r="E23" s="18" t="s">
        <v>27</v>
      </c>
      <c r="F23" s="18"/>
    </row>
    <row r="24" spans="2:16" ht="17.25" thickTop="1" thickBot="1" x14ac:dyDescent="0.3">
      <c r="B24" t="s">
        <v>48</v>
      </c>
      <c r="C24" s="18" t="s">
        <v>26</v>
      </c>
      <c r="D24" s="18"/>
      <c r="E24" s="13">
        <v>10</v>
      </c>
      <c r="F24" s="18" t="s">
        <v>23</v>
      </c>
    </row>
    <row r="25" spans="2:16" ht="17.25" thickTop="1" thickBot="1" x14ac:dyDescent="0.3">
      <c r="B25" s="6" t="s">
        <v>49</v>
      </c>
      <c r="C25" s="15" t="s">
        <v>78</v>
      </c>
      <c r="D25" s="15"/>
      <c r="E25" s="12">
        <f>+D26*E24*H21</f>
        <v>40</v>
      </c>
      <c r="F25" s="15" t="s">
        <v>23</v>
      </c>
    </row>
    <row r="26" spans="2:16" ht="16.5" thickTop="1" x14ac:dyDescent="0.25">
      <c r="B26" s="6" t="s">
        <v>83</v>
      </c>
      <c r="C26" s="47" t="s">
        <v>80</v>
      </c>
      <c r="D26" s="13">
        <v>2</v>
      </c>
      <c r="E26" s="18" t="s">
        <v>81</v>
      </c>
      <c r="F26" s="18"/>
    </row>
    <row r="27" spans="2:16" ht="15.75" thickBot="1" x14ac:dyDescent="0.3"/>
    <row r="28" spans="2:16" ht="20.25" thickTop="1" thickBot="1" x14ac:dyDescent="0.35">
      <c r="B28" t="s">
        <v>84</v>
      </c>
      <c r="C28" s="49" t="s">
        <v>85</v>
      </c>
      <c r="D28" s="49"/>
      <c r="E28" s="49"/>
      <c r="F28" s="49"/>
      <c r="G28" s="50"/>
      <c r="H28" s="15">
        <f>+E21*H21+E22+E25</f>
        <v>110</v>
      </c>
      <c r="I28" s="15" t="s">
        <v>52</v>
      </c>
      <c r="J28" s="15"/>
      <c r="M28" s="128" t="s">
        <v>86</v>
      </c>
      <c r="N28" s="128"/>
      <c r="O28" s="128"/>
      <c r="P28" s="128"/>
    </row>
    <row r="29" spans="2:16" ht="15.75" x14ac:dyDescent="0.25">
      <c r="B29" s="19"/>
      <c r="C29" s="48"/>
      <c r="D29" s="48"/>
      <c r="E29" s="48"/>
      <c r="F29" s="20"/>
      <c r="G29" s="48"/>
      <c r="M29" s="24"/>
      <c r="N29" s="24" t="s">
        <v>62</v>
      </c>
      <c r="O29" s="24" t="s">
        <v>65</v>
      </c>
      <c r="P29" s="24" t="s">
        <v>66</v>
      </c>
    </row>
    <row r="30" spans="2:16" ht="15" customHeight="1" x14ac:dyDescent="0.25">
      <c r="C30" s="129" t="s">
        <v>43</v>
      </c>
      <c r="D30" s="130"/>
      <c r="E30" s="130"/>
      <c r="F30" s="130"/>
      <c r="G30" s="130"/>
      <c r="H30" s="130"/>
      <c r="I30" s="130"/>
      <c r="J30" s="130"/>
      <c r="M30" s="25" t="s">
        <v>69</v>
      </c>
      <c r="N30" s="35">
        <v>250000</v>
      </c>
      <c r="O30" s="25">
        <v>1.0149999999999999</v>
      </c>
      <c r="P30" s="27">
        <f>+O30*N30</f>
        <v>253749.99999999997</v>
      </c>
    </row>
    <row r="31" spans="2:16" x14ac:dyDescent="0.25">
      <c r="C31" s="129"/>
      <c r="D31" s="130"/>
      <c r="E31" s="130"/>
      <c r="F31" s="130"/>
      <c r="G31" s="130"/>
      <c r="H31" s="130"/>
      <c r="I31" s="130"/>
      <c r="J31" s="130"/>
      <c r="M31" s="25" t="s">
        <v>70</v>
      </c>
      <c r="N31" s="35">
        <v>100000</v>
      </c>
      <c r="O31" s="25">
        <v>1</v>
      </c>
      <c r="P31" s="27">
        <f>+O31*N31</f>
        <v>100000</v>
      </c>
    </row>
    <row r="32" spans="2:16" ht="15.75" thickBot="1" x14ac:dyDescent="0.3">
      <c r="C32" s="131"/>
      <c r="D32" s="132"/>
      <c r="E32" s="132"/>
      <c r="F32" s="132"/>
      <c r="G32" s="132"/>
      <c r="H32" s="132"/>
      <c r="I32" s="132"/>
      <c r="J32" s="132"/>
      <c r="M32" s="25" t="s">
        <v>61</v>
      </c>
      <c r="N32" s="26"/>
      <c r="O32" s="25"/>
      <c r="P32" s="25"/>
    </row>
    <row r="33" spans="2:16" ht="16.5" thickTop="1" thickBot="1" x14ac:dyDescent="0.3">
      <c r="M33" s="25" t="s">
        <v>63</v>
      </c>
      <c r="N33" s="35">
        <v>500000</v>
      </c>
      <c r="O33" s="25">
        <v>0.82</v>
      </c>
      <c r="P33" s="27">
        <f t="shared" ref="P33:P34" si="0">+O33*N33</f>
        <v>410000</v>
      </c>
    </row>
    <row r="34" spans="2:16" ht="16.5" thickTop="1" x14ac:dyDescent="0.25">
      <c r="B34" t="s">
        <v>50</v>
      </c>
      <c r="C34" s="15" t="s">
        <v>51</v>
      </c>
      <c r="D34" s="15"/>
      <c r="E34" s="11">
        <v>22.47</v>
      </c>
      <c r="F34" s="15" t="s">
        <v>23</v>
      </c>
      <c r="M34" s="28" t="s">
        <v>64</v>
      </c>
      <c r="N34" s="36">
        <v>250000</v>
      </c>
      <c r="O34" s="28">
        <v>0.54</v>
      </c>
      <c r="P34" s="29">
        <f t="shared" si="0"/>
        <v>135000</v>
      </c>
    </row>
    <row r="35" spans="2:16" x14ac:dyDescent="0.25">
      <c r="M35" s="30"/>
      <c r="N35" s="31">
        <f>SUM(N30,N31,N33:N34)</f>
        <v>1100000</v>
      </c>
      <c r="O35" s="30"/>
      <c r="P35" s="31">
        <f>SUM(P30,P31,P33:P34)</f>
        <v>898750</v>
      </c>
    </row>
    <row r="36" spans="2:16" ht="21" customHeight="1" thickBot="1" x14ac:dyDescent="0.3">
      <c r="C36" s="126" t="s">
        <v>42</v>
      </c>
      <c r="D36" s="127"/>
      <c r="E36" s="127"/>
      <c r="F36" s="127"/>
      <c r="G36" s="127"/>
      <c r="H36" s="127"/>
      <c r="I36" s="127"/>
      <c r="J36" s="127"/>
    </row>
    <row r="37" spans="2:16" ht="17.25" thickTop="1" thickBot="1" x14ac:dyDescent="0.3">
      <c r="M37" s="32" t="s">
        <v>67</v>
      </c>
      <c r="N37" s="34">
        <v>3297</v>
      </c>
    </row>
    <row r="38" spans="2:16" ht="17.25" thickTop="1" thickBot="1" x14ac:dyDescent="0.3">
      <c r="C38" s="32" t="s">
        <v>53</v>
      </c>
      <c r="D38" s="15"/>
      <c r="E38" s="15"/>
      <c r="M38" s="32" t="s">
        <v>68</v>
      </c>
      <c r="N38" s="33">
        <f>+P35/N37</f>
        <v>272.59629966636334</v>
      </c>
    </row>
    <row r="39" spans="2:16" ht="17.25" thickTop="1" thickBot="1" x14ac:dyDescent="0.3">
      <c r="D39" s="15" t="s">
        <v>55</v>
      </c>
      <c r="E39" s="22">
        <f>+(H14+E34)-(H28+E34)</f>
        <v>170.00000000000003</v>
      </c>
      <c r="F39" s="16" t="s">
        <v>23</v>
      </c>
    </row>
    <row r="40" spans="2:16" ht="17.25" thickTop="1" thickBot="1" x14ac:dyDescent="0.3">
      <c r="D40" s="15" t="s">
        <v>56</v>
      </c>
      <c r="E40" s="23">
        <f>+E39*H6</f>
        <v>560490.00000000012</v>
      </c>
      <c r="F40" s="15" t="s">
        <v>57</v>
      </c>
      <c r="G40" s="15"/>
    </row>
    <row r="42" spans="2:16" ht="15.75" thickBot="1" x14ac:dyDescent="0.3"/>
    <row r="43" spans="2:16" ht="17.25" thickTop="1" thickBot="1" x14ac:dyDescent="0.3">
      <c r="C43" s="32" t="s">
        <v>58</v>
      </c>
      <c r="D43" s="15"/>
      <c r="E43" s="15"/>
    </row>
    <row r="44" spans="2:16" ht="17.25" thickTop="1" thickBot="1" x14ac:dyDescent="0.3">
      <c r="D44" s="15" t="s">
        <v>56</v>
      </c>
      <c r="E44" s="23">
        <f>+E39*(H20-H6)/2</f>
        <v>-67745.000000000015</v>
      </c>
      <c r="F44" s="15" t="s">
        <v>57</v>
      </c>
      <c r="G44" s="15"/>
    </row>
    <row r="45" spans="2:16" ht="15.75" thickBot="1" x14ac:dyDescent="0.3"/>
    <row r="46" spans="2:16" ht="17.25" thickTop="1" thickBot="1" x14ac:dyDescent="0.3">
      <c r="C46" s="32" t="s">
        <v>74</v>
      </c>
      <c r="D46" s="32"/>
      <c r="E46" s="23">
        <f>+E40+E44</f>
        <v>492745.00000000012</v>
      </c>
      <c r="F46" s="15" t="s">
        <v>57</v>
      </c>
    </row>
    <row r="48" spans="2:16" ht="21" customHeight="1" thickBot="1" x14ac:dyDescent="0.35">
      <c r="C48" s="126" t="s">
        <v>59</v>
      </c>
      <c r="D48" s="127"/>
      <c r="E48" s="127"/>
      <c r="F48" s="127"/>
      <c r="G48" s="127"/>
      <c r="H48" s="127"/>
      <c r="I48" s="127"/>
      <c r="J48" s="127"/>
      <c r="M48" s="128" t="s">
        <v>87</v>
      </c>
      <c r="N48" s="128"/>
      <c r="O48" s="128"/>
      <c r="P48" s="128"/>
    </row>
    <row r="49" spans="3:16" ht="16.5" thickTop="1" thickBot="1" x14ac:dyDescent="0.3">
      <c r="M49" s="24"/>
      <c r="N49" s="24" t="s">
        <v>62</v>
      </c>
      <c r="O49" s="24" t="s">
        <v>65</v>
      </c>
      <c r="P49" s="24" t="s">
        <v>66</v>
      </c>
    </row>
    <row r="50" spans="3:16" ht="17.25" thickTop="1" thickBot="1" x14ac:dyDescent="0.3">
      <c r="C50" s="32" t="s">
        <v>60</v>
      </c>
      <c r="D50" s="23">
        <f>+P56</f>
        <v>1727750</v>
      </c>
      <c r="E50" s="16" t="s">
        <v>23</v>
      </c>
      <c r="M50" s="25" t="s">
        <v>69</v>
      </c>
      <c r="N50" s="35">
        <v>450000</v>
      </c>
      <c r="O50" s="25">
        <v>1.0149999999999999</v>
      </c>
      <c r="P50" s="27">
        <f>+O50*N50</f>
        <v>456749.99999999994</v>
      </c>
    </row>
    <row r="51" spans="3:16" ht="15.75" thickBot="1" x14ac:dyDescent="0.3">
      <c r="M51" s="25" t="s">
        <v>70</v>
      </c>
      <c r="N51" s="35">
        <v>125000</v>
      </c>
      <c r="O51" s="25">
        <v>1</v>
      </c>
      <c r="P51" s="27">
        <f>+O51*N51</f>
        <v>125000</v>
      </c>
    </row>
    <row r="52" spans="3:16" ht="16.5" thickTop="1" thickBot="1" x14ac:dyDescent="0.3">
      <c r="C52" s="51" t="s">
        <v>77</v>
      </c>
      <c r="D52" s="23">
        <f>+D50*$E$53</f>
        <v>34555</v>
      </c>
      <c r="M52" s="25" t="s">
        <v>88</v>
      </c>
      <c r="N52" s="35">
        <v>800000</v>
      </c>
      <c r="O52" s="25"/>
      <c r="P52" s="27"/>
    </row>
    <row r="53" spans="3:16" ht="16.5" thickTop="1" x14ac:dyDescent="0.25">
      <c r="C53" s="18" t="s">
        <v>89</v>
      </c>
      <c r="D53" s="15"/>
      <c r="E53" s="14">
        <v>0.02</v>
      </c>
      <c r="F53" s="16" t="s">
        <v>38</v>
      </c>
      <c r="M53" s="25" t="s">
        <v>61</v>
      </c>
      <c r="N53" s="26"/>
      <c r="O53" s="25"/>
      <c r="P53" s="25"/>
    </row>
    <row r="54" spans="3:16" x14ac:dyDescent="0.25">
      <c r="M54" s="25" t="s">
        <v>63</v>
      </c>
      <c r="N54" s="35">
        <v>1200000</v>
      </c>
      <c r="O54" s="25">
        <v>0.82</v>
      </c>
      <c r="P54" s="27">
        <f t="shared" ref="P54:P55" si="1">+O54*N54</f>
        <v>983999.99999999988</v>
      </c>
    </row>
    <row r="55" spans="3:16" ht="21" thickBot="1" x14ac:dyDescent="0.3">
      <c r="C55" s="126" t="s">
        <v>71</v>
      </c>
      <c r="D55" s="127"/>
      <c r="E55" s="127"/>
      <c r="F55" s="127"/>
      <c r="G55" s="127"/>
      <c r="H55" s="127"/>
      <c r="I55" s="127"/>
      <c r="J55" s="127"/>
      <c r="M55" s="28" t="s">
        <v>64</v>
      </c>
      <c r="N55" s="36">
        <v>300000</v>
      </c>
      <c r="O55" s="28">
        <v>0.54</v>
      </c>
      <c r="P55" s="29">
        <f t="shared" si="1"/>
        <v>162000</v>
      </c>
    </row>
    <row r="56" spans="3:16" ht="15.75" thickTop="1" x14ac:dyDescent="0.25">
      <c r="M56" s="30"/>
      <c r="N56" s="31">
        <f>SUM(N50,N51,N54:N55)</f>
        <v>2075000</v>
      </c>
      <c r="O56" s="30"/>
      <c r="P56" s="31">
        <f>SUM(P50,P51,P54:P55)</f>
        <v>1727750</v>
      </c>
    </row>
    <row r="57" spans="3:16" x14ac:dyDescent="0.25">
      <c r="C57" s="52" t="s">
        <v>72</v>
      </c>
      <c r="D57" s="53" t="s">
        <v>60</v>
      </c>
      <c r="E57" s="53" t="s">
        <v>73</v>
      </c>
      <c r="F57" s="54" t="s">
        <v>90</v>
      </c>
      <c r="G57" s="54" t="s">
        <v>91</v>
      </c>
    </row>
    <row r="58" spans="3:16" x14ac:dyDescent="0.25">
      <c r="C58" s="38">
        <v>0</v>
      </c>
      <c r="D58" s="29">
        <f>+D50</f>
        <v>1727750</v>
      </c>
      <c r="E58" s="39"/>
      <c r="F58" s="39"/>
      <c r="G58" s="55">
        <f>+E58-F58-D58</f>
        <v>-1727750</v>
      </c>
    </row>
    <row r="59" spans="3:16" x14ac:dyDescent="0.25">
      <c r="C59" s="40">
        <v>1</v>
      </c>
      <c r="D59" s="41"/>
      <c r="E59" s="42">
        <f>+E46</f>
        <v>492745.00000000012</v>
      </c>
      <c r="F59" s="42">
        <f>+$D$52</f>
        <v>34555</v>
      </c>
      <c r="G59" s="55">
        <f t="shared" ref="G59:G68" si="2">+E59-F59-D59</f>
        <v>458190.00000000012</v>
      </c>
    </row>
    <row r="60" spans="3:16" x14ac:dyDescent="0.25">
      <c r="C60" s="40">
        <v>2</v>
      </c>
      <c r="D60" s="41"/>
      <c r="E60" s="43">
        <f>+E59*(1+$F$15)</f>
        <v>532164.60000000021</v>
      </c>
      <c r="F60" s="42">
        <f t="shared" ref="F60:F68" si="3">+$D$52</f>
        <v>34555</v>
      </c>
      <c r="G60" s="55">
        <f t="shared" si="2"/>
        <v>497609.60000000021</v>
      </c>
    </row>
    <row r="61" spans="3:16" x14ac:dyDescent="0.25">
      <c r="C61" s="40">
        <v>3</v>
      </c>
      <c r="D61" s="41"/>
      <c r="E61" s="43">
        <f t="shared" ref="E61:E68" si="4">+E60*(1+$F$15)</f>
        <v>574737.76800000027</v>
      </c>
      <c r="F61" s="42">
        <f t="shared" si="3"/>
        <v>34555</v>
      </c>
      <c r="G61" s="55">
        <f t="shared" si="2"/>
        <v>540182.76800000027</v>
      </c>
    </row>
    <row r="62" spans="3:16" x14ac:dyDescent="0.25">
      <c r="C62" s="40">
        <v>4</v>
      </c>
      <c r="D62" s="41"/>
      <c r="E62" s="43">
        <f t="shared" si="4"/>
        <v>620716.78944000031</v>
      </c>
      <c r="F62" s="42">
        <f t="shared" si="3"/>
        <v>34555</v>
      </c>
      <c r="G62" s="55">
        <f t="shared" si="2"/>
        <v>586161.78944000031</v>
      </c>
    </row>
    <row r="63" spans="3:16" x14ac:dyDescent="0.25">
      <c r="C63" s="40">
        <v>5</v>
      </c>
      <c r="D63" s="41"/>
      <c r="E63" s="43">
        <f t="shared" si="4"/>
        <v>670374.13259520032</v>
      </c>
      <c r="F63" s="42">
        <f t="shared" si="3"/>
        <v>34555</v>
      </c>
      <c r="G63" s="55">
        <f t="shared" si="2"/>
        <v>635819.13259520032</v>
      </c>
    </row>
    <row r="64" spans="3:16" x14ac:dyDescent="0.25">
      <c r="C64" s="40">
        <v>6</v>
      </c>
      <c r="D64" s="41"/>
      <c r="E64" s="43">
        <f t="shared" si="4"/>
        <v>724004.06320281641</v>
      </c>
      <c r="F64" s="42">
        <f t="shared" si="3"/>
        <v>34555</v>
      </c>
      <c r="G64" s="55">
        <f t="shared" si="2"/>
        <v>689449.06320281641</v>
      </c>
    </row>
    <row r="65" spans="3:7" x14ac:dyDescent="0.25">
      <c r="C65" s="40">
        <v>7</v>
      </c>
      <c r="D65" s="41"/>
      <c r="E65" s="43">
        <f t="shared" si="4"/>
        <v>781924.38825904182</v>
      </c>
      <c r="F65" s="42">
        <f t="shared" si="3"/>
        <v>34555</v>
      </c>
      <c r="G65" s="55">
        <f t="shared" si="2"/>
        <v>747369.38825904182</v>
      </c>
    </row>
    <row r="66" spans="3:7" x14ac:dyDescent="0.25">
      <c r="C66" s="40">
        <v>8</v>
      </c>
      <c r="D66" s="41"/>
      <c r="E66" s="43">
        <f t="shared" si="4"/>
        <v>844478.33931976522</v>
      </c>
      <c r="F66" s="42">
        <f t="shared" si="3"/>
        <v>34555</v>
      </c>
      <c r="G66" s="55">
        <f t="shared" si="2"/>
        <v>809923.33931976522</v>
      </c>
    </row>
    <row r="67" spans="3:7" x14ac:dyDescent="0.25">
      <c r="C67" s="40">
        <v>9</v>
      </c>
      <c r="D67" s="41"/>
      <c r="E67" s="43">
        <f t="shared" si="4"/>
        <v>912036.60646534653</v>
      </c>
      <c r="F67" s="42">
        <f t="shared" si="3"/>
        <v>34555</v>
      </c>
      <c r="G67" s="55">
        <f t="shared" si="2"/>
        <v>877481.60646534653</v>
      </c>
    </row>
    <row r="68" spans="3:7" x14ac:dyDescent="0.25">
      <c r="C68" s="44">
        <v>10</v>
      </c>
      <c r="D68" s="24"/>
      <c r="E68" s="45">
        <f t="shared" si="4"/>
        <v>984999.53498257429</v>
      </c>
      <c r="F68" s="42">
        <f t="shared" si="3"/>
        <v>34555</v>
      </c>
      <c r="G68" s="55">
        <f t="shared" si="2"/>
        <v>950444.53498257429</v>
      </c>
    </row>
    <row r="69" spans="3:7" ht="15.75" thickBot="1" x14ac:dyDescent="0.3">
      <c r="C69" s="37"/>
      <c r="D69" s="37"/>
      <c r="E69" s="37"/>
    </row>
    <row r="70" spans="3:7" ht="17.25" thickTop="1" thickBot="1" x14ac:dyDescent="0.3">
      <c r="C70" s="32" t="s">
        <v>75</v>
      </c>
      <c r="D70" s="46">
        <v>0.08</v>
      </c>
    </row>
    <row r="71" spans="3:7" ht="15.75" thickBot="1" x14ac:dyDescent="0.3"/>
    <row r="72" spans="3:7" ht="17.25" thickTop="1" thickBot="1" x14ac:dyDescent="0.3">
      <c r="C72" s="32" t="s">
        <v>76</v>
      </c>
      <c r="D72" s="56">
        <f>+NPV(D70,G59:G68)+G58</f>
        <v>2602836.8409632836</v>
      </c>
      <c r="E72" s="16" t="s">
        <v>23</v>
      </c>
    </row>
  </sheetData>
  <mergeCells count="11">
    <mergeCell ref="C48:J48"/>
    <mergeCell ref="C55:J55"/>
    <mergeCell ref="M28:P28"/>
    <mergeCell ref="M48:P48"/>
    <mergeCell ref="C36:J36"/>
    <mergeCell ref="C30:J32"/>
    <mergeCell ref="C2:J2"/>
    <mergeCell ref="C5:J5"/>
    <mergeCell ref="C19:J19"/>
    <mergeCell ref="C4:J4"/>
    <mergeCell ref="C18:J1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3"/>
  <sheetViews>
    <sheetView showGridLines="0" view="pageBreakPreview" zoomScale="80" zoomScaleNormal="110" zoomScaleSheetLayoutView="80" workbookViewId="0">
      <selection activeCell="H9" sqref="H9"/>
    </sheetView>
  </sheetViews>
  <sheetFormatPr baseColWidth="10" defaultRowHeight="15" x14ac:dyDescent="0.25"/>
  <cols>
    <col min="1" max="1" width="7" customWidth="1"/>
    <col min="2" max="5" width="20.7109375" customWidth="1"/>
    <col min="6" max="6" width="19.7109375" customWidth="1"/>
    <col min="7" max="7" width="23.42578125" customWidth="1"/>
    <col min="8" max="8" width="20.7109375" customWidth="1"/>
    <col min="9" max="9" width="16.140625" bestFit="1" customWidth="1"/>
  </cols>
  <sheetData>
    <row r="1" spans="2:9" ht="15.75" thickBot="1" x14ac:dyDescent="0.3"/>
    <row r="2" spans="2:9" ht="74.25" customHeight="1" thickBot="1" x14ac:dyDescent="0.3">
      <c r="B2" s="7" t="s">
        <v>9</v>
      </c>
      <c r="C2" s="7" t="s">
        <v>10</v>
      </c>
      <c r="D2" s="7" t="s">
        <v>6</v>
      </c>
      <c r="E2" s="7" t="s">
        <v>0</v>
      </c>
      <c r="F2" s="7" t="s">
        <v>1</v>
      </c>
      <c r="G2" s="7" t="s">
        <v>2</v>
      </c>
    </row>
    <row r="3" spans="2:9" ht="24.75" thickTop="1" thickBot="1" x14ac:dyDescent="0.3">
      <c r="B3" s="1" t="s">
        <v>116</v>
      </c>
      <c r="C3" s="2">
        <v>125</v>
      </c>
      <c r="D3" s="95">
        <v>0.86</v>
      </c>
      <c r="E3" s="2">
        <f>+ROUND(D3*C3,0)</f>
        <v>108</v>
      </c>
      <c r="F3" s="2">
        <v>432</v>
      </c>
      <c r="G3" s="2">
        <f>+F3/E3</f>
        <v>4</v>
      </c>
    </row>
    <row r="5" spans="2:9" ht="15.75" thickBot="1" x14ac:dyDescent="0.3"/>
    <row r="6" spans="2:9" ht="48" thickBot="1" x14ac:dyDescent="0.3">
      <c r="B6" s="3" t="s">
        <v>3</v>
      </c>
      <c r="C6" s="3" t="s">
        <v>4</v>
      </c>
      <c r="D6" s="3" t="s">
        <v>115</v>
      </c>
      <c r="E6" s="3" t="s">
        <v>5</v>
      </c>
      <c r="F6" s="3" t="s">
        <v>6</v>
      </c>
      <c r="G6" s="3" t="s">
        <v>114</v>
      </c>
      <c r="H6" s="3" t="s">
        <v>113</v>
      </c>
      <c r="I6" s="3" t="s">
        <v>7</v>
      </c>
    </row>
    <row r="7" spans="2:9" ht="20.25" thickTop="1" thickBot="1" x14ac:dyDescent="0.3">
      <c r="B7" s="4" t="s">
        <v>8</v>
      </c>
      <c r="C7" s="5">
        <v>10500</v>
      </c>
      <c r="D7" s="4">
        <v>0.45</v>
      </c>
      <c r="E7" s="5">
        <f>+C7*D7</f>
        <v>4725</v>
      </c>
      <c r="F7" s="4">
        <v>0.38</v>
      </c>
      <c r="G7" s="5">
        <f>+F7*E7</f>
        <v>1795.5</v>
      </c>
      <c r="H7" s="5">
        <v>2600</v>
      </c>
      <c r="I7" s="4">
        <f>+ROUND(H7/G7,2)</f>
        <v>1.45</v>
      </c>
    </row>
    <row r="8" spans="2:9" x14ac:dyDescent="0.25">
      <c r="H8">
        <f>H7/G7</f>
        <v>1.4480646059593427</v>
      </c>
    </row>
    <row r="10" spans="2:9" ht="61.5" customHeight="1" thickBot="1" x14ac:dyDescent="0.3">
      <c r="B10" s="133" t="s">
        <v>17</v>
      </c>
      <c r="C10" s="134"/>
      <c r="D10" s="134"/>
      <c r="E10" s="134"/>
      <c r="F10" s="134"/>
      <c r="G10" s="134"/>
      <c r="H10" s="134"/>
      <c r="I10" s="134"/>
    </row>
    <row r="11" spans="2:9" ht="24.75" thickTop="1" thickBot="1" x14ac:dyDescent="0.3">
      <c r="B11" s="10">
        <v>2011</v>
      </c>
      <c r="C11" s="2">
        <v>2012</v>
      </c>
      <c r="D11" s="2">
        <v>2013</v>
      </c>
      <c r="E11" s="2">
        <v>2014</v>
      </c>
      <c r="F11" s="2">
        <v>2015</v>
      </c>
      <c r="G11" s="2">
        <v>2016</v>
      </c>
      <c r="H11" s="2">
        <v>2017</v>
      </c>
      <c r="I11" s="2">
        <v>2018</v>
      </c>
    </row>
    <row r="12" spans="2:9" ht="24.75" thickTop="1" thickBot="1" x14ac:dyDescent="0.3">
      <c r="B12" s="10">
        <v>125</v>
      </c>
      <c r="C12" s="2">
        <f>+ROUND(B12*(1+$C$14),0)</f>
        <v>128</v>
      </c>
      <c r="D12" s="2">
        <f>+ROUND(C12*(1+$C$14),0)</f>
        <v>131</v>
      </c>
      <c r="E12" s="2">
        <f t="shared" ref="E12:I12" si="0">+ROUND(D12*(1+$C$14),0)</f>
        <v>134</v>
      </c>
      <c r="F12" s="2">
        <f t="shared" si="0"/>
        <v>137</v>
      </c>
      <c r="G12" s="2">
        <f t="shared" si="0"/>
        <v>140</v>
      </c>
      <c r="H12" s="2">
        <f t="shared" si="0"/>
        <v>143</v>
      </c>
      <c r="I12" s="2">
        <f t="shared" si="0"/>
        <v>146</v>
      </c>
    </row>
    <row r="13" spans="2:9" ht="15.75" thickBot="1" x14ac:dyDescent="0.3"/>
    <row r="14" spans="2:9" ht="39" thickTop="1" thickBot="1" x14ac:dyDescent="0.3">
      <c r="B14" s="4" t="s">
        <v>11</v>
      </c>
      <c r="C14" s="8">
        <v>0.02</v>
      </c>
    </row>
    <row r="17" spans="2:9" ht="63.75" customHeight="1" thickBot="1" x14ac:dyDescent="0.3">
      <c r="B17" s="135" t="s">
        <v>12</v>
      </c>
      <c r="C17" s="134"/>
      <c r="D17" s="134"/>
      <c r="E17" s="134"/>
      <c r="F17" s="134"/>
      <c r="G17" s="134"/>
      <c r="H17" s="134"/>
      <c r="I17" s="134"/>
    </row>
    <row r="18" spans="2:9" ht="24.75" thickTop="1" thickBot="1" x14ac:dyDescent="0.3">
      <c r="B18" s="10">
        <v>2011</v>
      </c>
      <c r="C18" s="2">
        <v>2012</v>
      </c>
      <c r="D18" s="2">
        <v>2013</v>
      </c>
      <c r="E18" s="2">
        <v>2014</v>
      </c>
      <c r="F18" s="2">
        <v>2015</v>
      </c>
      <c r="G18" s="2">
        <v>2016</v>
      </c>
      <c r="H18" s="2">
        <v>2017</v>
      </c>
      <c r="I18" s="2">
        <v>2018</v>
      </c>
    </row>
    <row r="19" spans="2:9" ht="24.75" thickTop="1" thickBot="1" x14ac:dyDescent="0.3">
      <c r="B19" s="10">
        <f>+ROUND(B12*$D$3,0)</f>
        <v>108</v>
      </c>
      <c r="C19" s="2">
        <f>+ROUND(C12*$D$3,0)</f>
        <v>110</v>
      </c>
      <c r="D19" s="2">
        <f t="shared" ref="D19:I19" si="1">+ROUND(D12*$D$3,0)</f>
        <v>113</v>
      </c>
      <c r="E19" s="2">
        <f t="shared" si="1"/>
        <v>115</v>
      </c>
      <c r="F19" s="2">
        <f t="shared" si="1"/>
        <v>118</v>
      </c>
      <c r="G19" s="2">
        <f t="shared" si="1"/>
        <v>120</v>
      </c>
      <c r="H19" s="2">
        <f t="shared" si="1"/>
        <v>123</v>
      </c>
      <c r="I19" s="2">
        <f t="shared" si="1"/>
        <v>126</v>
      </c>
    </row>
    <row r="22" spans="2:9" ht="45.75" customHeight="1" thickBot="1" x14ac:dyDescent="0.3">
      <c r="B22" s="135" t="s">
        <v>13</v>
      </c>
      <c r="C22" s="134"/>
      <c r="D22" s="134"/>
      <c r="E22" s="134"/>
      <c r="F22" s="134"/>
      <c r="G22" s="134"/>
      <c r="H22" s="134"/>
      <c r="I22" s="134"/>
    </row>
    <row r="23" spans="2:9" ht="24.75" thickTop="1" thickBot="1" x14ac:dyDescent="0.3">
      <c r="B23" s="10">
        <v>2011</v>
      </c>
      <c r="C23" s="2">
        <v>2012</v>
      </c>
      <c r="D23" s="2">
        <v>2013</v>
      </c>
      <c r="E23" s="2">
        <v>2014</v>
      </c>
      <c r="F23" s="2">
        <v>2015</v>
      </c>
      <c r="G23" s="2">
        <v>2016</v>
      </c>
      <c r="H23" s="2">
        <v>2017</v>
      </c>
      <c r="I23" s="2">
        <v>2018</v>
      </c>
    </row>
    <row r="24" spans="2:9" ht="24.75" thickTop="1" thickBot="1" x14ac:dyDescent="0.3">
      <c r="B24" s="10">
        <f>+B19*$G$3</f>
        <v>432</v>
      </c>
      <c r="C24" s="2">
        <f>+C19*$G$3</f>
        <v>440</v>
      </c>
      <c r="D24" s="2">
        <f t="shared" ref="D24:I24" si="2">+D19*$G$3</f>
        <v>452</v>
      </c>
      <c r="E24" s="2">
        <f t="shared" si="2"/>
        <v>460</v>
      </c>
      <c r="F24" s="2">
        <f t="shared" si="2"/>
        <v>472</v>
      </c>
      <c r="G24" s="2">
        <f t="shared" si="2"/>
        <v>480</v>
      </c>
      <c r="H24" s="2">
        <f t="shared" si="2"/>
        <v>492</v>
      </c>
      <c r="I24" s="2">
        <f t="shared" si="2"/>
        <v>504</v>
      </c>
    </row>
    <row r="26" spans="2:9" ht="78.75" customHeight="1" thickBot="1" x14ac:dyDescent="0.3">
      <c r="B26" s="135" t="s">
        <v>14</v>
      </c>
      <c r="C26" s="134"/>
      <c r="D26" s="134"/>
      <c r="E26" s="134"/>
      <c r="F26" s="134"/>
      <c r="G26" s="134"/>
      <c r="H26" s="134"/>
      <c r="I26" s="134"/>
    </row>
    <row r="27" spans="2:9" ht="16.5" thickTop="1" thickBot="1" x14ac:dyDescent="0.3"/>
    <row r="28" spans="2:9" ht="20.25" thickTop="1" thickBot="1" x14ac:dyDescent="0.35">
      <c r="B28" s="4" t="s">
        <v>15</v>
      </c>
      <c r="C28" s="9">
        <v>6</v>
      </c>
    </row>
    <row r="29" spans="2:9" ht="20.25" thickTop="1" thickBot="1" x14ac:dyDescent="0.3">
      <c r="B29" s="4" t="s">
        <v>16</v>
      </c>
      <c r="C29" s="8">
        <v>0.9</v>
      </c>
    </row>
    <row r="31" spans="2:9" ht="21" thickBot="1" x14ac:dyDescent="0.3">
      <c r="B31" s="135" t="s">
        <v>18</v>
      </c>
      <c r="C31" s="134"/>
      <c r="D31" s="134"/>
      <c r="E31" s="134"/>
      <c r="F31" s="134"/>
      <c r="G31" s="134"/>
      <c r="H31" s="134"/>
      <c r="I31" s="134"/>
    </row>
    <row r="32" spans="2:9" ht="24.75" thickTop="1" thickBot="1" x14ac:dyDescent="0.3">
      <c r="B32" s="10">
        <v>2011</v>
      </c>
      <c r="C32" s="2">
        <v>2012</v>
      </c>
      <c r="D32" s="2">
        <v>2013</v>
      </c>
      <c r="E32" s="2">
        <v>2014</v>
      </c>
      <c r="F32" s="2">
        <v>2015</v>
      </c>
      <c r="G32" s="2">
        <v>2016</v>
      </c>
      <c r="H32" s="2">
        <v>2017</v>
      </c>
      <c r="I32" s="2">
        <v>2018</v>
      </c>
    </row>
    <row r="33" spans="2:9" ht="24.75" thickTop="1" thickBot="1" x14ac:dyDescent="0.3">
      <c r="B33" s="10">
        <f>+B24</f>
        <v>432</v>
      </c>
      <c r="C33" s="2">
        <f>ROUND(C12*$C$29*$C$28,0)</f>
        <v>691</v>
      </c>
      <c r="D33" s="2">
        <f t="shared" ref="D33:I33" si="3">ROUND(D12*$C$29*$C$28,0)</f>
        <v>707</v>
      </c>
      <c r="E33" s="2">
        <f t="shared" si="3"/>
        <v>724</v>
      </c>
      <c r="F33" s="2">
        <f t="shared" si="3"/>
        <v>740</v>
      </c>
      <c r="G33" s="2">
        <f t="shared" si="3"/>
        <v>756</v>
      </c>
      <c r="H33" s="2">
        <f t="shared" si="3"/>
        <v>772</v>
      </c>
      <c r="I33" s="2">
        <f t="shared" si="3"/>
        <v>788</v>
      </c>
    </row>
  </sheetData>
  <mergeCells count="5">
    <mergeCell ref="B10:I10"/>
    <mergeCell ref="B17:I17"/>
    <mergeCell ref="B22:I22"/>
    <mergeCell ref="B26:I26"/>
    <mergeCell ref="B31:I3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6"/>
  <sheetViews>
    <sheetView showGridLines="0" zoomScale="80" zoomScaleNormal="80" workbookViewId="0">
      <selection activeCell="D27" sqref="D27"/>
    </sheetView>
  </sheetViews>
  <sheetFormatPr baseColWidth="10" defaultRowHeight="15" x14ac:dyDescent="0.25"/>
  <cols>
    <col min="1" max="1" width="2.42578125" customWidth="1"/>
    <col min="2" max="2" width="30.7109375" customWidth="1"/>
    <col min="3" max="3" width="19.85546875" customWidth="1"/>
    <col min="4" max="4" width="16" customWidth="1"/>
    <col min="5" max="5" width="19" customWidth="1"/>
    <col min="7" max="7" width="14.140625" customWidth="1"/>
    <col min="8" max="8" width="6.28515625" customWidth="1"/>
    <col min="9" max="9" width="4.140625" customWidth="1"/>
    <col min="11" max="11" width="14.28515625" customWidth="1"/>
    <col min="12" max="12" width="24.42578125" customWidth="1"/>
    <col min="13" max="13" width="14.85546875" customWidth="1"/>
    <col min="14" max="14" width="15" customWidth="1"/>
    <col min="15" max="15" width="12.85546875" customWidth="1"/>
  </cols>
  <sheetData>
    <row r="2" spans="2:15" ht="19.5" customHeight="1" x14ac:dyDescent="0.25">
      <c r="B2" s="141" t="s">
        <v>104</v>
      </c>
      <c r="C2" s="141"/>
      <c r="D2" s="141"/>
      <c r="E2" s="141"/>
      <c r="F2" s="141"/>
      <c r="G2" s="141"/>
      <c r="H2" s="81"/>
      <c r="I2" s="81"/>
      <c r="J2" s="136" t="s">
        <v>105</v>
      </c>
      <c r="K2" s="137"/>
      <c r="L2" s="137"/>
      <c r="M2" s="137"/>
      <c r="N2" s="137"/>
      <c r="O2" s="137"/>
    </row>
    <row r="3" spans="2:15" ht="15" customHeight="1" x14ac:dyDescent="0.25">
      <c r="B3" s="141"/>
      <c r="C3" s="141"/>
      <c r="D3" s="141"/>
      <c r="E3" s="141"/>
      <c r="F3" s="141"/>
      <c r="G3" s="141"/>
      <c r="H3" s="81"/>
      <c r="I3" s="81"/>
      <c r="J3" s="84" t="s">
        <v>72</v>
      </c>
      <c r="K3" s="84" t="s">
        <v>60</v>
      </c>
      <c r="L3" s="84" t="s">
        <v>96</v>
      </c>
      <c r="M3" s="84" t="s">
        <v>106</v>
      </c>
      <c r="N3" s="84" t="s">
        <v>107</v>
      </c>
      <c r="O3" s="84" t="s">
        <v>108</v>
      </c>
    </row>
    <row r="4" spans="2:15" ht="15.75" thickBot="1" x14ac:dyDescent="0.3">
      <c r="J4" s="85">
        <v>0</v>
      </c>
      <c r="K4" s="86">
        <f>+$C$8</f>
        <v>507499.99999999994</v>
      </c>
      <c r="L4" s="87"/>
      <c r="M4" s="87"/>
      <c r="N4" s="86">
        <f>SUM(K4:M4)</f>
        <v>507499.99999999994</v>
      </c>
      <c r="O4" s="87"/>
    </row>
    <row r="5" spans="2:15" ht="17.25" thickTop="1" thickBot="1" x14ac:dyDescent="0.3">
      <c r="B5" s="138" t="s">
        <v>92</v>
      </c>
      <c r="C5" s="139"/>
      <c r="D5" s="140"/>
      <c r="E5" s="71"/>
      <c r="J5" s="85">
        <v>1</v>
      </c>
      <c r="K5" s="87"/>
      <c r="L5" s="86">
        <f>+$C$10</f>
        <v>25375</v>
      </c>
      <c r="M5" s="86">
        <f>+$E$17</f>
        <v>201449.99999999997</v>
      </c>
      <c r="N5" s="86">
        <f t="shared" ref="N5:N13" si="0">SUM(K5:M5)</f>
        <v>226824.99999999997</v>
      </c>
      <c r="O5" s="94">
        <v>2000</v>
      </c>
    </row>
    <row r="6" spans="2:15" ht="17.25" thickTop="1" thickBot="1" x14ac:dyDescent="0.3">
      <c r="B6" s="15" t="s">
        <v>93</v>
      </c>
      <c r="C6" s="57">
        <v>500000</v>
      </c>
      <c r="D6" s="16" t="s">
        <v>23</v>
      </c>
      <c r="J6" s="85">
        <v>2</v>
      </c>
      <c r="K6" s="87"/>
      <c r="L6" s="86">
        <f t="shared" ref="L6:L14" si="1">+$C$10</f>
        <v>25375</v>
      </c>
      <c r="M6" s="86">
        <f t="shared" ref="M6:M14" si="2">+$E$17</f>
        <v>201449.99999999997</v>
      </c>
      <c r="N6" s="86">
        <f t="shared" si="0"/>
        <v>226824.99999999997</v>
      </c>
      <c r="O6" s="94">
        <v>2000</v>
      </c>
    </row>
    <row r="7" spans="2:15" ht="17.25" thickTop="1" thickBot="1" x14ac:dyDescent="0.3">
      <c r="B7" s="15" t="s">
        <v>95</v>
      </c>
      <c r="C7" s="58">
        <v>1.0149999999999999</v>
      </c>
      <c r="J7" s="85">
        <v>3</v>
      </c>
      <c r="K7" s="87"/>
      <c r="L7" s="86">
        <f t="shared" si="1"/>
        <v>25375</v>
      </c>
      <c r="M7" s="86">
        <f t="shared" si="2"/>
        <v>201449.99999999997</v>
      </c>
      <c r="N7" s="86">
        <f t="shared" si="0"/>
        <v>226824.99999999997</v>
      </c>
      <c r="O7" s="94">
        <v>2000</v>
      </c>
    </row>
    <row r="8" spans="2:15" ht="16.5" thickTop="1" x14ac:dyDescent="0.25">
      <c r="B8" s="15" t="s">
        <v>94</v>
      </c>
      <c r="C8" s="59">
        <f>+C6*C7</f>
        <v>507499.99999999994</v>
      </c>
      <c r="D8" s="16" t="s">
        <v>23</v>
      </c>
      <c r="J8" s="85">
        <v>4</v>
      </c>
      <c r="K8" s="87"/>
      <c r="L8" s="86">
        <f t="shared" si="1"/>
        <v>25375</v>
      </c>
      <c r="M8" s="86">
        <f t="shared" si="2"/>
        <v>201449.99999999997</v>
      </c>
      <c r="N8" s="86">
        <f t="shared" si="0"/>
        <v>226824.99999999997</v>
      </c>
      <c r="O8" s="94">
        <v>2000</v>
      </c>
    </row>
    <row r="9" spans="2:15" ht="15.75" thickBot="1" x14ac:dyDescent="0.3">
      <c r="J9" s="85">
        <v>5</v>
      </c>
      <c r="K9" s="86">
        <f>+K4</f>
        <v>507499.99999999994</v>
      </c>
      <c r="L9" s="86">
        <f t="shared" si="1"/>
        <v>25375</v>
      </c>
      <c r="M9" s="86">
        <f t="shared" si="2"/>
        <v>201449.99999999997</v>
      </c>
      <c r="N9" s="86">
        <f t="shared" si="0"/>
        <v>734325</v>
      </c>
      <c r="O9" s="94">
        <v>2000</v>
      </c>
    </row>
    <row r="10" spans="2:15" ht="17.25" thickTop="1" thickBot="1" x14ac:dyDescent="0.3">
      <c r="B10" s="32" t="s">
        <v>102</v>
      </c>
      <c r="C10" s="60">
        <f>+C8*$C$11</f>
        <v>25375</v>
      </c>
      <c r="D10" s="16" t="s">
        <v>23</v>
      </c>
      <c r="J10" s="85">
        <v>6</v>
      </c>
      <c r="K10" s="87"/>
      <c r="L10" s="86">
        <f t="shared" si="1"/>
        <v>25375</v>
      </c>
      <c r="M10" s="86">
        <f t="shared" si="2"/>
        <v>201449.99999999997</v>
      </c>
      <c r="N10" s="86">
        <f t="shared" si="0"/>
        <v>226824.99999999997</v>
      </c>
      <c r="O10" s="94">
        <v>2000</v>
      </c>
    </row>
    <row r="11" spans="2:15" ht="16.5" thickTop="1" x14ac:dyDescent="0.25">
      <c r="B11" s="18" t="s">
        <v>89</v>
      </c>
      <c r="C11" s="80">
        <v>0.05</v>
      </c>
      <c r="D11" s="15" t="s">
        <v>38</v>
      </c>
      <c r="J11" s="85">
        <v>7</v>
      </c>
      <c r="K11" s="87"/>
      <c r="L11" s="86">
        <f t="shared" si="1"/>
        <v>25375</v>
      </c>
      <c r="M11" s="86">
        <f t="shared" si="2"/>
        <v>201449.99999999997</v>
      </c>
      <c r="N11" s="86">
        <f t="shared" si="0"/>
        <v>226824.99999999997</v>
      </c>
      <c r="O11" s="94">
        <v>2000</v>
      </c>
    </row>
    <row r="12" spans="2:15" ht="15.75" thickBot="1" x14ac:dyDescent="0.3">
      <c r="J12" s="85">
        <v>8</v>
      </c>
      <c r="K12" s="87"/>
      <c r="L12" s="86">
        <f t="shared" si="1"/>
        <v>25375</v>
      </c>
      <c r="M12" s="86">
        <f t="shared" si="2"/>
        <v>201449.99999999997</v>
      </c>
      <c r="N12" s="86">
        <f t="shared" si="0"/>
        <v>226824.99999999997</v>
      </c>
      <c r="O12" s="94">
        <v>2000</v>
      </c>
    </row>
    <row r="13" spans="2:15" ht="17.25" thickTop="1" thickBot="1" x14ac:dyDescent="0.3">
      <c r="B13" s="32" t="s">
        <v>103</v>
      </c>
      <c r="C13" s="72"/>
      <c r="D13" s="97">
        <v>30000</v>
      </c>
      <c r="E13" s="72"/>
      <c r="F13" s="83"/>
      <c r="J13" s="85">
        <v>9</v>
      </c>
      <c r="K13" s="87"/>
      <c r="L13" s="86">
        <f t="shared" si="1"/>
        <v>25375</v>
      </c>
      <c r="M13" s="86">
        <f t="shared" si="2"/>
        <v>201449.99999999997</v>
      </c>
      <c r="N13" s="86">
        <f t="shared" si="0"/>
        <v>226824.99999999997</v>
      </c>
      <c r="O13" s="94">
        <v>2000</v>
      </c>
    </row>
    <row r="14" spans="2:15" ht="17.25" thickTop="1" thickBot="1" x14ac:dyDescent="0.3">
      <c r="B14" s="61" t="s">
        <v>101</v>
      </c>
      <c r="C14" s="61" t="s">
        <v>99</v>
      </c>
      <c r="D14" s="61" t="s">
        <v>97</v>
      </c>
      <c r="E14" s="62" t="s">
        <v>98</v>
      </c>
      <c r="J14" s="85">
        <v>10</v>
      </c>
      <c r="K14" s="87"/>
      <c r="L14" s="86">
        <f t="shared" si="1"/>
        <v>25375</v>
      </c>
      <c r="M14" s="86">
        <f t="shared" si="2"/>
        <v>201449.99999999997</v>
      </c>
      <c r="N14" s="86">
        <f>SUM(K14:M14)</f>
        <v>226824.99999999997</v>
      </c>
      <c r="O14" s="94">
        <v>2000</v>
      </c>
    </row>
    <row r="15" spans="2:15" ht="16.5" thickBot="1" x14ac:dyDescent="0.3">
      <c r="B15" s="63" t="s">
        <v>19</v>
      </c>
      <c r="C15" s="64">
        <v>60000</v>
      </c>
      <c r="D15" s="65">
        <v>0.82</v>
      </c>
      <c r="E15" s="66">
        <f>+D15*C15</f>
        <v>49200</v>
      </c>
      <c r="J15" s="73"/>
      <c r="K15" s="88"/>
      <c r="L15" s="88"/>
      <c r="M15" s="88" t="s">
        <v>109</v>
      </c>
      <c r="N15" s="89">
        <f>+NPV('Construcción de un centro'!$D$70,'Costo efectividad'!N5:N14)+'Costo efectividad'!N4</f>
        <v>2374910.1858095215</v>
      </c>
      <c r="O15" s="88"/>
    </row>
    <row r="16" spans="2:15" ht="15.75" x14ac:dyDescent="0.25">
      <c r="B16" s="67" t="s">
        <v>100</v>
      </c>
      <c r="C16" s="68">
        <v>150000</v>
      </c>
      <c r="D16" s="69">
        <v>1.0149999999999999</v>
      </c>
      <c r="E16" s="70">
        <f>+D16*C16</f>
        <v>152249.99999999997</v>
      </c>
      <c r="J16" s="74"/>
      <c r="K16" s="75"/>
      <c r="L16" s="75"/>
      <c r="M16" s="75"/>
      <c r="N16" s="75" t="s">
        <v>110</v>
      </c>
      <c r="O16" s="90">
        <f>+NPV('Construcción de un centro'!$D$70,'Costo efectividad'!O5:O14)</f>
        <v>13420.162797882882</v>
      </c>
    </row>
    <row r="17" spans="2:15" ht="18.75" x14ac:dyDescent="0.3">
      <c r="B17" s="76"/>
      <c r="C17" s="77">
        <f>+C15+C16</f>
        <v>210000</v>
      </c>
      <c r="D17" s="78"/>
      <c r="E17" s="79">
        <f>+E15+E16</f>
        <v>201449.99999999997</v>
      </c>
      <c r="J17" s="91"/>
      <c r="K17" s="91"/>
      <c r="L17" s="91"/>
      <c r="M17" s="91"/>
      <c r="N17" s="92" t="s">
        <v>111</v>
      </c>
      <c r="O17" s="93">
        <f>+N15/O16</f>
        <v>176.96582534633478</v>
      </c>
    </row>
    <row r="19" spans="2:15" ht="20.25" x14ac:dyDescent="0.25">
      <c r="J19" s="136" t="s">
        <v>112</v>
      </c>
      <c r="K19" s="137"/>
      <c r="L19" s="137"/>
      <c r="M19" s="137"/>
      <c r="N19" s="137"/>
      <c r="O19" s="137"/>
    </row>
    <row r="20" spans="2:15" ht="21" customHeight="1" thickBot="1" x14ac:dyDescent="0.3">
      <c r="H20" s="82"/>
      <c r="J20" s="84" t="s">
        <v>72</v>
      </c>
      <c r="K20" s="84" t="s">
        <v>60</v>
      </c>
      <c r="L20" s="84" t="s">
        <v>96</v>
      </c>
      <c r="M20" s="84" t="s">
        <v>106</v>
      </c>
      <c r="N20" s="84" t="s">
        <v>107</v>
      </c>
      <c r="O20" s="84" t="s">
        <v>108</v>
      </c>
    </row>
    <row r="21" spans="2:15" ht="15.75" thickTop="1" x14ac:dyDescent="0.25">
      <c r="J21" s="85">
        <v>0</v>
      </c>
      <c r="K21" s="86">
        <f>+'Construcción de un centro'!D50</f>
        <v>1727750</v>
      </c>
      <c r="L21" s="87"/>
      <c r="M21" s="87"/>
      <c r="N21" s="86">
        <f>+K21+L21+M21</f>
        <v>1727750</v>
      </c>
      <c r="O21" s="87"/>
    </row>
    <row r="22" spans="2:15" x14ac:dyDescent="0.25">
      <c r="J22" s="85">
        <v>1</v>
      </c>
      <c r="K22" s="87"/>
      <c r="L22" s="86">
        <f>+'Construcción de un centro'!$D$52</f>
        <v>34555</v>
      </c>
      <c r="M22" s="86"/>
      <c r="N22" s="86">
        <f t="shared" ref="N22:N31" si="3">+K22+L22+M22</f>
        <v>34555</v>
      </c>
      <c r="O22" s="94">
        <v>1800</v>
      </c>
    </row>
    <row r="23" spans="2:15" x14ac:dyDescent="0.25">
      <c r="J23" s="85">
        <v>2</v>
      </c>
      <c r="K23" s="87"/>
      <c r="L23" s="86">
        <f>+'Construcción de un centro'!$D$52</f>
        <v>34555</v>
      </c>
      <c r="M23" s="86"/>
      <c r="N23" s="86">
        <f t="shared" si="3"/>
        <v>34555</v>
      </c>
      <c r="O23" s="94">
        <v>1800</v>
      </c>
    </row>
    <row r="24" spans="2:15" x14ac:dyDescent="0.25">
      <c r="J24" s="85">
        <v>3</v>
      </c>
      <c r="K24" s="87"/>
      <c r="L24" s="86">
        <f>+'Construcción de un centro'!$D$52</f>
        <v>34555</v>
      </c>
      <c r="M24" s="86"/>
      <c r="N24" s="86">
        <f t="shared" si="3"/>
        <v>34555</v>
      </c>
      <c r="O24" s="94">
        <v>1800</v>
      </c>
    </row>
    <row r="25" spans="2:15" x14ac:dyDescent="0.25">
      <c r="B25" t="s">
        <v>151</v>
      </c>
      <c r="J25" s="85">
        <v>4</v>
      </c>
      <c r="K25" s="87"/>
      <c r="L25" s="86">
        <f>+'Construcción de un centro'!$D$52</f>
        <v>34555</v>
      </c>
      <c r="M25" s="86"/>
      <c r="N25" s="86">
        <f t="shared" si="3"/>
        <v>34555</v>
      </c>
      <c r="O25" s="94">
        <v>1800</v>
      </c>
    </row>
    <row r="26" spans="2:15" x14ac:dyDescent="0.25">
      <c r="J26" s="85">
        <v>5</v>
      </c>
      <c r="K26" s="86"/>
      <c r="L26" s="86">
        <f>+'Construcción de un centro'!$D$52</f>
        <v>34555</v>
      </c>
      <c r="M26" s="86"/>
      <c r="N26" s="86">
        <f t="shared" si="3"/>
        <v>34555</v>
      </c>
      <c r="O26" s="94">
        <v>1800</v>
      </c>
    </row>
    <row r="27" spans="2:15" x14ac:dyDescent="0.25">
      <c r="B27">
        <v>162</v>
      </c>
      <c r="C27">
        <v>1.02</v>
      </c>
      <c r="D27">
        <f>B27*C27</f>
        <v>165.24</v>
      </c>
      <c r="J27" s="85">
        <v>6</v>
      </c>
      <c r="K27" s="87"/>
      <c r="L27" s="86">
        <f>+'Construcción de un centro'!$D$52</f>
        <v>34555</v>
      </c>
      <c r="M27" s="86"/>
      <c r="N27" s="86">
        <f t="shared" si="3"/>
        <v>34555</v>
      </c>
      <c r="O27" s="94">
        <v>1800</v>
      </c>
    </row>
    <row r="28" spans="2:15" x14ac:dyDescent="0.25">
      <c r="J28" s="85">
        <v>7</v>
      </c>
      <c r="K28" s="87"/>
      <c r="L28" s="86">
        <f>+'Construcción de un centro'!$D$52</f>
        <v>34555</v>
      </c>
      <c r="M28" s="86"/>
      <c r="N28" s="86">
        <f t="shared" si="3"/>
        <v>34555</v>
      </c>
      <c r="O28" s="94">
        <v>1800</v>
      </c>
    </row>
    <row r="29" spans="2:15" x14ac:dyDescent="0.25">
      <c r="J29" s="85">
        <v>8</v>
      </c>
      <c r="K29" s="87"/>
      <c r="L29" s="86">
        <f>+'Construcción de un centro'!$D$52</f>
        <v>34555</v>
      </c>
      <c r="M29" s="86"/>
      <c r="N29" s="86">
        <f t="shared" si="3"/>
        <v>34555</v>
      </c>
      <c r="O29" s="94">
        <v>1800</v>
      </c>
    </row>
    <row r="30" spans="2:15" x14ac:dyDescent="0.25">
      <c r="J30" s="85">
        <v>9</v>
      </c>
      <c r="K30" s="87"/>
      <c r="L30" s="86">
        <f>+'Construcción de un centro'!$D$52</f>
        <v>34555</v>
      </c>
      <c r="M30" s="86"/>
      <c r="N30" s="86">
        <f t="shared" si="3"/>
        <v>34555</v>
      </c>
      <c r="O30" s="94">
        <v>1800</v>
      </c>
    </row>
    <row r="31" spans="2:15" x14ac:dyDescent="0.25">
      <c r="J31" s="85">
        <v>10</v>
      </c>
      <c r="K31" s="87"/>
      <c r="L31" s="86">
        <f>+'Construcción de un centro'!$D$52</f>
        <v>34555</v>
      </c>
      <c r="M31" s="86"/>
      <c r="N31" s="86">
        <f t="shared" si="3"/>
        <v>34555</v>
      </c>
      <c r="O31" s="94">
        <v>1800</v>
      </c>
    </row>
    <row r="32" spans="2:15" x14ac:dyDescent="0.25">
      <c r="J32" s="73"/>
      <c r="K32" s="88"/>
      <c r="L32" s="88"/>
      <c r="M32" s="88" t="s">
        <v>109</v>
      </c>
      <c r="N32" s="89">
        <f>+NPV('Construcción de un centro'!$D$70,'Costo efectividad'!N22:N31)+'Costo efectividad'!N21</f>
        <v>1959616.8627404214</v>
      </c>
      <c r="O32" s="88"/>
    </row>
    <row r="33" spans="10:15" x14ac:dyDescent="0.25">
      <c r="J33" s="74"/>
      <c r="K33" s="75"/>
      <c r="L33" s="75"/>
      <c r="M33" s="75"/>
      <c r="N33" s="75" t="s">
        <v>110</v>
      </c>
      <c r="O33" s="90">
        <f>+NPV('Construcción de un centro'!$D$70,'Costo efectividad'!O22:O31)</f>
        <v>12078.146518094594</v>
      </c>
    </row>
    <row r="34" spans="10:15" ht="18.75" x14ac:dyDescent="0.3">
      <c r="J34" s="91"/>
      <c r="K34" s="91"/>
      <c r="L34" s="91"/>
      <c r="M34" s="91"/>
      <c r="N34" s="92" t="s">
        <v>111</v>
      </c>
      <c r="O34" s="93">
        <f>+N32/O33</f>
        <v>162.24483283131786</v>
      </c>
    </row>
    <row r="36" spans="10:15" x14ac:dyDescent="0.25">
      <c r="O36" s="96">
        <f>+N15-N32</f>
        <v>415293.32306910004</v>
      </c>
    </row>
  </sheetData>
  <mergeCells count="4">
    <mergeCell ref="J2:O2"/>
    <mergeCell ref="J19:O19"/>
    <mergeCell ref="B5:D5"/>
    <mergeCell ref="B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Base</vt:lpstr>
      <vt:lpstr>Proyección demanda </vt:lpstr>
      <vt:lpstr>Construcción de un centro</vt:lpstr>
      <vt:lpstr>Ejemplo</vt:lpstr>
      <vt:lpstr>Costo efectividad</vt:lpstr>
    </vt:vector>
  </TitlesOfParts>
  <Company>MHCP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Vega</dc:creator>
  <cp:lastModifiedBy>Cristel López Calderón</cp:lastModifiedBy>
  <dcterms:created xsi:type="dcterms:W3CDTF">2013-03-14T02:59:18Z</dcterms:created>
  <dcterms:modified xsi:type="dcterms:W3CDTF">2017-04-20T19:33:53Z</dcterms:modified>
</cp:coreProperties>
</file>